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24226"/>
  <mc:AlternateContent xmlns:mc="http://schemas.openxmlformats.org/markup-compatibility/2006">
    <mc:Choice Requires="x15">
      <x15ac:absPath xmlns:x15ac="http://schemas.microsoft.com/office/spreadsheetml/2010/11/ac" url="C:\Users\jo.s\Desktop\sustainfarm\DEFRA Deliverables\Milestone 21 DST\"/>
    </mc:Choice>
  </mc:AlternateContent>
  <xr:revisionPtr revIDLastSave="0" documentId="13_ncr:1_{106AA3C0-BCBF-4690-8FF6-1E86F51240CA}" xr6:coauthVersionLast="41" xr6:coauthVersionMax="41" xr10:uidLastSave="{00000000-0000-0000-0000-000000000000}"/>
  <bookViews>
    <workbookView xWindow="-120" yWindow="-120" windowWidth="20730" windowHeight="11160" tabRatio="807" xr2:uid="{00000000-000D-0000-FFFF-FFFF00000000}"/>
  </bookViews>
  <sheets>
    <sheet name="Instructions and information" sheetId="17" r:id="rId1"/>
    <sheet name="Avg_yields_EU28" sheetId="26" state="hidden" r:id="rId2"/>
    <sheet name="Initial data collection sheet" sheetId="1" r:id="rId3"/>
    <sheet name="LSU_density_EU" sheetId="28" state="hidden" r:id="rId4"/>
    <sheet name="Soil management" sheetId="2" r:id="rId5"/>
    <sheet name="Landscape and Heritage" sheetId="4" r:id="rId6"/>
    <sheet name="NPK budget" sheetId="7" r:id="rId7"/>
    <sheet name="Fuel use input data" sheetId="15" r:id="rId8"/>
    <sheet name="Energy and carbon" sheetId="18" r:id="rId9"/>
    <sheet name="Agricultural systems diversity" sheetId="9" r:id="rId10"/>
    <sheet name="Social Capital" sheetId="10" r:id="rId11"/>
    <sheet name="Farm Business Resilience" sheetId="23" r:id="rId12"/>
    <sheet name="AnimalHealth&amp;Welfare Management" sheetId="12" r:id="rId13"/>
    <sheet name="Governance" sheetId="24" r:id="rId14"/>
    <sheet name="Results with livestock" sheetId="13" r:id="rId15"/>
    <sheet name="Results without livestock" sheetId="31" r:id="rId16"/>
    <sheet name="FBS classification " sheetId="20" state="hidden" r:id="rId17"/>
    <sheet name="CO2_fuel_calc" sheetId="25"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LU">LSU_density_EU!$A$3:$G$32</definedName>
    <definedName name="_xlnm.Print_Area" localSheetId="7">'Fuel use input data'!$A$8:$L$30</definedName>
    <definedName name="_xlnm.Print_Area" localSheetId="14">'Results with livestock'!$A$1:$M$117</definedName>
    <definedName name="_xlnm.Print_Area" localSheetId="15">'Results without livestock'!$A$1:$M$110</definedName>
    <definedName name="Production_end_source" localSheetId="13">[1]Data!$B$30:$B$32</definedName>
    <definedName name="Production_end_source">[2]Data!$B$30:$B$32</definedName>
  </definedNames>
  <calcPr calcId="191029"/>
  <customWorkbookViews>
    <customWorkbookView name="laurence.s - Personal View" guid="{7EE74243-CD96-4613-8F82-08E917A91D99}" mergeInterval="0" personalView="1" maximized="1" xWindow="1" yWindow="1" windowWidth="1276" windowHeight="759" activeSheetId="6"/>
    <customWorkbookView name="catherine.g - Personal View" guid="{77787C9C-D755-4D99-8252-290109F2917C}" mergeInterval="0" personalView="1" maximized="1" xWindow="1" yWindow="1" windowWidth="1276" windowHeight="803" activeSheetId="1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5" i="18" l="1"/>
  <c r="B417" i="1" l="1"/>
  <c r="B79" i="18"/>
  <c r="K35" i="1" l="1"/>
  <c r="L35" i="1"/>
  <c r="M35" i="1"/>
  <c r="K36" i="1"/>
  <c r="L36" i="1"/>
  <c r="M36" i="1"/>
  <c r="K37" i="1"/>
  <c r="L37" i="1"/>
  <c r="M37" i="1"/>
  <c r="K38" i="1"/>
  <c r="L38" i="1"/>
  <c r="M38" i="1"/>
  <c r="K39" i="1"/>
  <c r="L39" i="1"/>
  <c r="M39" i="1"/>
  <c r="K40" i="1"/>
  <c r="L40" i="1"/>
  <c r="M40" i="1"/>
  <c r="K41" i="1"/>
  <c r="M41" i="1" s="1"/>
  <c r="L41" i="1"/>
  <c r="K42" i="1"/>
  <c r="L42" i="1"/>
  <c r="M42" i="1"/>
  <c r="K43" i="1"/>
  <c r="L43" i="1"/>
  <c r="M43" i="1"/>
  <c r="L44" i="1"/>
  <c r="M44" i="1"/>
  <c r="L45" i="1"/>
  <c r="M45" i="1"/>
  <c r="L46" i="1"/>
  <c r="M46" i="1"/>
  <c r="L47" i="1"/>
  <c r="M47" i="1"/>
  <c r="L48" i="1"/>
  <c r="M48" i="1"/>
  <c r="L49" i="1"/>
  <c r="M49" i="1"/>
  <c r="L50" i="1"/>
  <c r="M50" i="1"/>
  <c r="L52" i="1"/>
  <c r="M52" i="1"/>
  <c r="L53" i="1"/>
  <c r="M53" i="1"/>
  <c r="L54" i="1"/>
  <c r="M54" i="1"/>
  <c r="L55" i="1"/>
  <c r="M55" i="1"/>
  <c r="L56" i="1"/>
  <c r="M56" i="1"/>
  <c r="L57" i="1"/>
  <c r="M57" i="1"/>
  <c r="L58" i="1"/>
  <c r="M58" i="1"/>
  <c r="L59" i="1"/>
  <c r="M59" i="1"/>
  <c r="L60" i="1"/>
  <c r="M60" i="1"/>
  <c r="L61" i="1"/>
  <c r="M61" i="1"/>
  <c r="L62" i="1"/>
  <c r="M62" i="1"/>
  <c r="K63" i="1"/>
  <c r="L63" i="1" s="1"/>
  <c r="K64" i="1"/>
  <c r="M64" i="1" s="1"/>
  <c r="L64" i="1"/>
  <c r="K65" i="1"/>
  <c r="L65" i="1"/>
  <c r="M65" i="1"/>
  <c r="L66" i="1"/>
  <c r="M66" i="1"/>
  <c r="L69" i="1"/>
  <c r="M69" i="1"/>
  <c r="L70" i="1"/>
  <c r="M70" i="1"/>
  <c r="L71" i="1"/>
  <c r="M71" i="1"/>
  <c r="L72" i="1"/>
  <c r="M72" i="1"/>
  <c r="L73" i="1"/>
  <c r="M73" i="1"/>
  <c r="L74" i="1"/>
  <c r="M74" i="1"/>
  <c r="K75" i="1"/>
  <c r="M75" i="1" s="1"/>
  <c r="L75" i="1"/>
  <c r="L78" i="1"/>
  <c r="M78" i="1"/>
  <c r="L79" i="1"/>
  <c r="M79" i="1"/>
  <c r="L80" i="1"/>
  <c r="M80" i="1"/>
  <c r="L81" i="1"/>
  <c r="M81" i="1"/>
  <c r="K82" i="1"/>
  <c r="L82" i="1"/>
  <c r="M82" i="1"/>
  <c r="L85" i="1"/>
  <c r="M85" i="1"/>
  <c r="L86" i="1"/>
  <c r="M86" i="1"/>
  <c r="L89" i="1"/>
  <c r="M89" i="1"/>
  <c r="L90" i="1"/>
  <c r="M90" i="1"/>
  <c r="L91" i="1"/>
  <c r="M91"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K144" i="1"/>
  <c r="L144" i="1"/>
  <c r="M144" i="1"/>
  <c r="L147" i="1"/>
  <c r="M147" i="1"/>
  <c r="L148" i="1"/>
  <c r="M148" i="1"/>
  <c r="L149" i="1"/>
  <c r="M149" i="1"/>
  <c r="K160" i="1"/>
  <c r="M160" i="1"/>
  <c r="K166" i="1"/>
  <c r="M166" i="1"/>
  <c r="K173" i="1"/>
  <c r="M173" i="1"/>
  <c r="K179" i="1"/>
  <c r="M179" i="1"/>
  <c r="K187" i="1"/>
  <c r="M187" i="1"/>
  <c r="K193" i="1"/>
  <c r="M193" i="1"/>
  <c r="K198" i="1"/>
  <c r="M198" i="1"/>
  <c r="K244" i="1"/>
  <c r="L244" i="1"/>
  <c r="K245" i="1"/>
  <c r="L245" i="1"/>
  <c r="K246" i="1"/>
  <c r="L246" i="1"/>
  <c r="K247" i="1"/>
  <c r="L247" i="1"/>
  <c r="K248" i="1"/>
  <c r="L248" i="1"/>
  <c r="K249" i="1"/>
  <c r="L249" i="1"/>
  <c r="K250" i="1"/>
  <c r="L250" i="1"/>
  <c r="K251" i="1"/>
  <c r="L251" i="1"/>
  <c r="K253" i="1"/>
  <c r="L253" i="1" s="1"/>
  <c r="K255" i="1"/>
  <c r="L255" i="1"/>
  <c r="K257" i="1"/>
  <c r="L257" i="1" s="1"/>
  <c r="K259" i="1"/>
  <c r="L259" i="1"/>
  <c r="M259" i="1"/>
  <c r="K260" i="1"/>
  <c r="L260" i="1"/>
  <c r="M260" i="1"/>
  <c r="K261" i="1"/>
  <c r="L261" i="1"/>
  <c r="M261" i="1"/>
  <c r="K262" i="1"/>
  <c r="L262" i="1"/>
  <c r="M262" i="1"/>
  <c r="L263" i="1"/>
  <c r="M263" i="1"/>
  <c r="K264" i="1"/>
  <c r="L264" i="1"/>
  <c r="M264" i="1"/>
  <c r="L265" i="1"/>
  <c r="M265" i="1"/>
  <c r="L266" i="1"/>
  <c r="M266" i="1"/>
  <c r="L267" i="1"/>
  <c r="M267" i="1"/>
  <c r="K268" i="1"/>
  <c r="L268" i="1"/>
  <c r="M268" i="1"/>
  <c r="K270" i="1"/>
  <c r="L270" i="1"/>
  <c r="K271" i="1"/>
  <c r="L271" i="1"/>
  <c r="K272" i="1"/>
  <c r="L272" i="1"/>
  <c r="K273" i="1"/>
  <c r="L273" i="1"/>
  <c r="K274" i="1"/>
  <c r="L274" i="1"/>
  <c r="L275" i="1"/>
  <c r="K276" i="1"/>
  <c r="L276" i="1"/>
  <c r="K277" i="1"/>
  <c r="L277" i="1"/>
  <c r="L278" i="1"/>
  <c r="L279" i="1"/>
  <c r="L280" i="1"/>
  <c r="K282" i="1"/>
  <c r="L282" i="1"/>
  <c r="K283" i="1"/>
  <c r="L283" i="1"/>
  <c r="K284" i="1"/>
  <c r="L284" i="1"/>
  <c r="K285" i="1"/>
  <c r="L285" i="1"/>
  <c r="L287" i="1"/>
  <c r="K288" i="1"/>
  <c r="L288" i="1"/>
  <c r="K289" i="1"/>
  <c r="L289" i="1"/>
  <c r="K290" i="1"/>
  <c r="L290" i="1"/>
  <c r="K291" i="1"/>
  <c r="L291" i="1"/>
  <c r="K292" i="1"/>
  <c r="L292" i="1"/>
  <c r="K293" i="1"/>
  <c r="L293" i="1"/>
  <c r="K294" i="1"/>
  <c r="L294" i="1"/>
  <c r="K295" i="1"/>
  <c r="L295" i="1" s="1"/>
  <c r="K296" i="1"/>
  <c r="L296" i="1"/>
  <c r="K297" i="1"/>
  <c r="L297" i="1" s="1"/>
  <c r="M63" i="1" l="1"/>
  <c r="C26" i="4"/>
  <c r="C78" i="18" l="1"/>
  <c r="S189" i="1" l="1"/>
  <c r="S183" i="1"/>
  <c r="S175" i="1"/>
  <c r="S169" i="1"/>
  <c r="S162" i="1"/>
  <c r="T175" i="1" l="1"/>
  <c r="T189" i="1"/>
  <c r="T183" i="1"/>
  <c r="T169" i="1"/>
  <c r="C16" i="4"/>
  <c r="B110" i="31" l="1"/>
  <c r="B109" i="31"/>
  <c r="B108" i="31"/>
  <c r="B107" i="31"/>
  <c r="B106" i="31"/>
  <c r="B99" i="31"/>
  <c r="G88" i="31"/>
  <c r="B84" i="31"/>
  <c r="B83" i="31"/>
  <c r="B82" i="31"/>
  <c r="B77" i="31"/>
  <c r="B76" i="31"/>
  <c r="B75" i="31"/>
  <c r="B74" i="31"/>
  <c r="B73" i="31"/>
  <c r="B72" i="31"/>
  <c r="B71" i="31"/>
  <c r="B70" i="31"/>
  <c r="B69" i="31"/>
  <c r="B68" i="31"/>
  <c r="B67" i="31"/>
  <c r="D6" i="31"/>
  <c r="M62" i="31" s="1"/>
  <c r="D5" i="31"/>
  <c r="M61" i="31" s="1"/>
  <c r="D6" i="13"/>
  <c r="M6" i="13" s="1"/>
  <c r="D5" i="13"/>
  <c r="M5" i="13" s="1"/>
  <c r="F22" i="10"/>
  <c r="M5" i="31" l="1"/>
  <c r="D61" i="31"/>
  <c r="M6" i="31"/>
  <c r="D62" i="31"/>
  <c r="D62" i="13"/>
  <c r="D63" i="13"/>
  <c r="M62" i="13"/>
  <c r="M63" i="13"/>
  <c r="C24" i="2"/>
  <c r="D26" i="18" l="1"/>
  <c r="G77" i="31" s="1"/>
  <c r="D46" i="18"/>
  <c r="G79" i="31" s="1"/>
  <c r="D59" i="18"/>
  <c r="G81" i="31" s="1"/>
  <c r="D58" i="18"/>
  <c r="G80" i="31" s="1"/>
  <c r="C12" i="4" l="1"/>
  <c r="C13" i="4" s="1"/>
  <c r="A99" i="7"/>
  <c r="A88" i="7"/>
  <c r="A72" i="7"/>
  <c r="B75" i="13" l="1"/>
  <c r="B78" i="13"/>
  <c r="G88" i="13" l="1"/>
  <c r="F46" i="18" l="1"/>
  <c r="G79" i="13"/>
  <c r="F58" i="18"/>
  <c r="G80" i="13"/>
  <c r="E12" i="23" l="1"/>
  <c r="L12" i="23" s="1"/>
  <c r="C104" i="31" s="1"/>
  <c r="B72" i="18"/>
  <c r="B240" i="1"/>
  <c r="B368" i="1" l="1" a="1"/>
  <c r="B368" i="1" s="1"/>
  <c r="B372" i="1"/>
  <c r="K372" i="1" s="1"/>
  <c r="B369" i="1"/>
  <c r="K369" i="1" l="1"/>
  <c r="K368" i="1"/>
  <c r="B117" i="13"/>
  <c r="B114" i="13"/>
  <c r="B115" i="13"/>
  <c r="B116" i="13"/>
  <c r="B113" i="13"/>
  <c r="O11" i="15"/>
  <c r="B242" i="1" l="1"/>
  <c r="B365" i="1" a="1"/>
  <c r="B365" i="1" s="1"/>
  <c r="AI148" i="1" l="1"/>
  <c r="AK148" i="1" s="1"/>
  <c r="G32" i="28" l="1"/>
  <c r="F32" i="28"/>
  <c r="G31" i="28"/>
  <c r="F31" i="28"/>
  <c r="H444" i="1" s="1"/>
  <c r="G30" i="28"/>
  <c r="F30" i="28"/>
  <c r="H430" i="1" s="1"/>
  <c r="G29" i="28"/>
  <c r="F29" i="28"/>
  <c r="H429" i="1" s="1"/>
  <c r="G28" i="28"/>
  <c r="F28" i="28"/>
  <c r="H431" i="1" s="1"/>
  <c r="G27" i="28"/>
  <c r="F27" i="28"/>
  <c r="H437" i="1" s="1"/>
  <c r="G26" i="28"/>
  <c r="F26" i="28"/>
  <c r="H448" i="1" s="1"/>
  <c r="G25" i="28"/>
  <c r="F25" i="28"/>
  <c r="H454" i="1" s="1"/>
  <c r="G24" i="28"/>
  <c r="F24" i="28"/>
  <c r="H452" i="1" s="1"/>
  <c r="G23" i="28"/>
  <c r="F23" i="28"/>
  <c r="H434" i="1" s="1"/>
  <c r="G22" i="28"/>
  <c r="F22" i="28"/>
  <c r="H436" i="1" s="1"/>
  <c r="G21" i="28"/>
  <c r="F21" i="28"/>
  <c r="H447" i="1" s="1"/>
  <c r="G20" i="28"/>
  <c r="F20" i="28"/>
  <c r="H439" i="1" s="1"/>
  <c r="G19" i="28"/>
  <c r="F19" i="28"/>
  <c r="H433" i="1" s="1"/>
  <c r="G18" i="28"/>
  <c r="F18" i="28"/>
  <c r="H450" i="1" s="1"/>
  <c r="G17" i="28"/>
  <c r="F17" i="28"/>
  <c r="H441" i="1" s="1"/>
  <c r="G16" i="28"/>
  <c r="F16" i="28"/>
  <c r="H438" i="1" s="1"/>
  <c r="G15" i="28"/>
  <c r="F15" i="28"/>
  <c r="H445" i="1" s="1"/>
  <c r="G14" i="28"/>
  <c r="F14" i="28"/>
  <c r="H432" i="1" s="1"/>
  <c r="G13" i="28"/>
  <c r="F13" i="28"/>
  <c r="H435" i="1" s="1"/>
  <c r="G12" i="28"/>
  <c r="F12" i="28"/>
  <c r="H428" i="1" s="1"/>
  <c r="G11" i="28"/>
  <c r="F11" i="28"/>
  <c r="H440" i="1" s="1"/>
  <c r="G10" i="28"/>
  <c r="F10" i="28"/>
  <c r="H427" i="1" s="1"/>
  <c r="G9" i="28"/>
  <c r="F9" i="28"/>
  <c r="H426" i="1" s="1"/>
  <c r="G8" i="28"/>
  <c r="F8" i="28"/>
  <c r="H451" i="1" s="1"/>
  <c r="G7" i="28"/>
  <c r="F7" i="28"/>
  <c r="H453" i="1" s="1"/>
  <c r="G6" i="28"/>
  <c r="F6" i="28"/>
  <c r="H443" i="1" s="1"/>
  <c r="G5" i="28"/>
  <c r="F5" i="28"/>
  <c r="H449" i="1" s="1"/>
  <c r="G4" i="28"/>
  <c r="F4" i="28"/>
  <c r="H446" i="1" s="1"/>
  <c r="H455" i="1" l="1"/>
  <c r="H442" i="1"/>
  <c r="K410" i="1"/>
  <c r="L410" i="1" l="1"/>
  <c r="N410" i="1"/>
  <c r="O410" i="1"/>
  <c r="P410" i="1"/>
  <c r="M410" i="1"/>
  <c r="AJ148" i="1" l="1"/>
  <c r="AI113" i="1"/>
  <c r="B371" i="1" a="1"/>
  <c r="B371" i="1" s="1"/>
  <c r="K371" i="1" s="1"/>
  <c r="AJ113" i="1" l="1"/>
  <c r="AK113" i="1" s="1"/>
  <c r="AB114" i="1" l="1"/>
  <c r="AB118" i="1"/>
  <c r="AB119" i="1"/>
  <c r="AB120" i="1"/>
  <c r="AB123" i="1"/>
  <c r="AB124" i="1"/>
  <c r="AB125" i="1"/>
  <c r="AB127" i="1"/>
  <c r="AB128" i="1"/>
  <c r="AB129" i="1"/>
  <c r="AB130" i="1"/>
  <c r="AB133" i="1"/>
  <c r="AB134" i="1"/>
  <c r="AB135" i="1"/>
  <c r="AB136" i="1"/>
  <c r="AB137" i="1"/>
  <c r="AB138" i="1"/>
  <c r="AB139" i="1"/>
  <c r="AB140" i="1"/>
  <c r="AB141" i="1"/>
  <c r="AB142" i="1"/>
  <c r="AB143" i="1"/>
  <c r="AB113" i="1"/>
  <c r="AA132" i="1"/>
  <c r="AB132" i="1" s="1"/>
  <c r="AA131" i="1"/>
  <c r="AB131" i="1" s="1"/>
  <c r="AA126" i="1"/>
  <c r="AB126" i="1" s="1"/>
  <c r="AA122" i="1"/>
  <c r="AB122" i="1" s="1"/>
  <c r="AA121" i="1"/>
  <c r="AB121" i="1" s="1"/>
  <c r="AA117" i="1"/>
  <c r="AB117" i="1" s="1"/>
  <c r="AA116" i="1"/>
  <c r="AB116" i="1" s="1"/>
  <c r="AA115" i="1"/>
  <c r="AB115" i="1" s="1"/>
  <c r="AA144" i="1" l="1"/>
  <c r="AB144" i="1" s="1"/>
  <c r="AD139" i="1"/>
  <c r="AD129" i="1"/>
  <c r="AD136" i="1"/>
  <c r="AD142" i="1"/>
  <c r="AD119" i="1"/>
  <c r="AD125" i="1"/>
  <c r="AD358" i="1" l="1"/>
  <c r="AD148" i="1"/>
  <c r="AD149" i="1"/>
  <c r="AD146" i="1"/>
  <c r="AD147" i="1"/>
  <c r="AD150" i="1"/>
  <c r="A460" i="1"/>
  <c r="A461" i="1" s="1"/>
  <c r="B366" i="1" a="1"/>
  <c r="B366" i="1" s="1"/>
  <c r="B375" i="1" l="1"/>
  <c r="AD360" i="1"/>
  <c r="B239" i="1"/>
  <c r="J63" i="15" l="1"/>
  <c r="I63" i="15"/>
  <c r="B235" i="1"/>
  <c r="D18" i="26" l="1"/>
  <c r="D19" i="26"/>
  <c r="B416" i="1" s="1"/>
  <c r="D17" i="26"/>
  <c r="B415" i="1" s="1"/>
  <c r="C14" i="26"/>
  <c r="B14" i="26"/>
  <c r="C13" i="26"/>
  <c r="B13" i="26"/>
  <c r="C12" i="26"/>
  <c r="B12" i="26"/>
  <c r="C11" i="26"/>
  <c r="B11" i="26"/>
  <c r="C10" i="26"/>
  <c r="B10" i="26"/>
  <c r="B413" i="1" s="1"/>
  <c r="C9" i="26"/>
  <c r="B9" i="26"/>
  <c r="C8" i="26"/>
  <c r="B8" i="26"/>
  <c r="C7" i="26"/>
  <c r="B7" i="26"/>
  <c r="C6" i="26"/>
  <c r="B6" i="26"/>
  <c r="C5" i="26"/>
  <c r="B5" i="26"/>
  <c r="C4" i="26"/>
  <c r="B4" i="26"/>
  <c r="B412" i="1" l="1"/>
  <c r="D21" i="26"/>
  <c r="B100" i="13" l="1"/>
  <c r="B21" i="9"/>
  <c r="F21" i="9" s="1"/>
  <c r="F25" i="9"/>
  <c r="B34" i="9"/>
  <c r="F34" i="9" s="1"/>
  <c r="C79" i="18"/>
  <c r="B78" i="18"/>
  <c r="F35" i="9" l="1"/>
  <c r="M12" i="9" s="1"/>
  <c r="C96" i="31" s="1"/>
  <c r="A44" i="4"/>
  <c r="C32" i="2" l="1"/>
  <c r="C29" i="2"/>
  <c r="J13" i="2" s="1"/>
  <c r="C89" i="31" l="1"/>
  <c r="J70" i="15"/>
  <c r="J71" i="15"/>
  <c r="J72" i="15"/>
  <c r="J73" i="15"/>
  <c r="J74" i="15"/>
  <c r="J75" i="15"/>
  <c r="J76" i="15"/>
  <c r="J77" i="15"/>
  <c r="J78" i="15"/>
  <c r="J57" i="15"/>
  <c r="J58" i="15"/>
  <c r="J59" i="15"/>
  <c r="J60" i="15"/>
  <c r="J61" i="15"/>
  <c r="J62" i="15"/>
  <c r="J64" i="15"/>
  <c r="J65" i="15"/>
  <c r="O12" i="15"/>
  <c r="O13" i="15"/>
  <c r="O14" i="15"/>
  <c r="O15" i="15"/>
  <c r="O16" i="15"/>
  <c r="O17" i="15"/>
  <c r="O18" i="15"/>
  <c r="O19" i="15"/>
  <c r="A50" i="4"/>
  <c r="A43" i="4"/>
  <c r="F38" i="10"/>
  <c r="A108" i="10"/>
  <c r="A103" i="10"/>
  <c r="F17" i="10"/>
  <c r="J66" i="15" l="1"/>
  <c r="B101" i="15" s="1"/>
  <c r="D101" i="15" s="1"/>
  <c r="J79" i="15"/>
  <c r="C101" i="15" s="1"/>
  <c r="C113" i="15" s="1"/>
  <c r="C9" i="25"/>
  <c r="C5" i="25"/>
  <c r="C6" i="25"/>
  <c r="C7" i="25"/>
  <c r="C8" i="25"/>
  <c r="C10" i="25"/>
  <c r="C11" i="25"/>
  <c r="C4" i="25"/>
  <c r="B82" i="18"/>
  <c r="B81" i="18"/>
  <c r="C65" i="15"/>
  <c r="D65" i="15"/>
  <c r="E65" i="15"/>
  <c r="F65" i="15"/>
  <c r="G65" i="15"/>
  <c r="H65" i="15"/>
  <c r="I65" i="15"/>
  <c r="B65" i="15"/>
  <c r="B113" i="15" l="1"/>
  <c r="B62" i="18" s="1"/>
  <c r="D62" i="18" s="1"/>
  <c r="G82" i="31" s="1"/>
  <c r="B83" i="18"/>
  <c r="B87" i="18" s="1"/>
  <c r="F11" i="24"/>
  <c r="F10" i="24"/>
  <c r="F34" i="10"/>
  <c r="A52" i="10"/>
  <c r="F37" i="10"/>
  <c r="F36" i="10"/>
  <c r="F62" i="18" l="1"/>
  <c r="G82" i="13"/>
  <c r="F12" i="24"/>
  <c r="M10" i="24" l="1"/>
  <c r="C106" i="31" s="1"/>
  <c r="C113" i="13" l="1"/>
  <c r="E16" i="23"/>
  <c r="D37" i="9" l="1"/>
  <c r="E37" i="9"/>
  <c r="B37" i="9" l="1"/>
  <c r="F37" i="9" s="1"/>
  <c r="H78" i="15"/>
  <c r="M13" i="9" l="1"/>
  <c r="C99" i="31" s="1"/>
  <c r="F23" i="10"/>
  <c r="C100" i="13" l="1"/>
  <c r="F25" i="24"/>
  <c r="A78" i="24"/>
  <c r="F15" i="24" l="1"/>
  <c r="F14" i="24"/>
  <c r="A55" i="24"/>
  <c r="F16" i="24" l="1"/>
  <c r="M11" i="24" s="1"/>
  <c r="C107" i="31" s="1"/>
  <c r="C114" i="13" l="1"/>
  <c r="A64" i="24"/>
  <c r="A37" i="24"/>
  <c r="F29" i="24"/>
  <c r="M14" i="24" s="1"/>
  <c r="C110" i="31" s="1"/>
  <c r="F24" i="24"/>
  <c r="F26" i="24" s="1"/>
  <c r="F20" i="24"/>
  <c r="M12" i="24" s="1"/>
  <c r="C108" i="31" s="1"/>
  <c r="H8" i="24"/>
  <c r="C115" i="13" l="1"/>
  <c r="C117" i="13"/>
  <c r="M13" i="24"/>
  <c r="C109" i="31" s="1"/>
  <c r="F30" i="24"/>
  <c r="M15" i="24" l="1"/>
  <c r="B55" i="31" s="1"/>
  <c r="C116" i="13"/>
  <c r="G366" i="1"/>
  <c r="AH127" i="1"/>
  <c r="B56" i="13" l="1"/>
  <c r="L434" i="1"/>
  <c r="AI147" i="1" l="1"/>
  <c r="N391" i="1"/>
  <c r="AJ147" i="1" l="1"/>
  <c r="AK147" i="1"/>
  <c r="L397" i="1"/>
  <c r="L396"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198" i="1"/>
  <c r="J193" i="1"/>
  <c r="J187" i="1"/>
  <c r="J179" i="1"/>
  <c r="J173" i="1"/>
  <c r="J166" i="1"/>
  <c r="J160" i="1"/>
  <c r="I369" i="1" l="1"/>
  <c r="N403" i="1"/>
  <c r="N404" i="1"/>
  <c r="N401" i="1"/>
  <c r="N399" i="1"/>
  <c r="N397" i="1"/>
  <c r="N396" i="1"/>
  <c r="I372" i="1"/>
  <c r="L398" i="1"/>
  <c r="K366" i="1" l="1"/>
  <c r="B238" i="1"/>
  <c r="B32" i="1" s="1"/>
  <c r="B79" i="31" s="1"/>
  <c r="B241" i="1"/>
  <c r="B200" i="1"/>
  <c r="G72" i="1"/>
  <c r="G73" i="1"/>
  <c r="G74" i="1"/>
  <c r="G75" i="1"/>
  <c r="G71" i="1"/>
  <c r="G70" i="1"/>
  <c r="G69" i="1"/>
  <c r="B222" i="1"/>
  <c r="P75" i="1"/>
  <c r="O75" i="1"/>
  <c r="R196" i="1" l="1"/>
  <c r="Q196" i="1"/>
  <c r="S196" i="1" s="1"/>
  <c r="T196" i="1" s="1"/>
  <c r="R189" i="1"/>
  <c r="R175" i="1"/>
  <c r="R162" i="1"/>
  <c r="Q189" i="1"/>
  <c r="Q175" i="1"/>
  <c r="Q162" i="1"/>
  <c r="T162" i="1" s="1"/>
  <c r="K413" i="1"/>
  <c r="L413" i="1" s="1"/>
  <c r="I366" i="1"/>
  <c r="I375" i="1" s="1"/>
  <c r="P413" i="1" l="1"/>
  <c r="P421" i="1" s="1"/>
  <c r="P422" i="1" s="1"/>
  <c r="P423" i="1" s="1"/>
  <c r="M413" i="1"/>
  <c r="M421" i="1" s="1"/>
  <c r="M422" i="1" s="1"/>
  <c r="M423" i="1" s="1"/>
  <c r="M424" i="1" s="1"/>
  <c r="M426" i="1" s="1"/>
  <c r="N413" i="1"/>
  <c r="N421" i="1" s="1"/>
  <c r="N422" i="1" s="1"/>
  <c r="N423" i="1" s="1"/>
  <c r="N424" i="1" s="1"/>
  <c r="N425" i="1" s="1"/>
  <c r="O413" i="1"/>
  <c r="O421" i="1" s="1"/>
  <c r="O422" i="1" s="1"/>
  <c r="O423" i="1" s="1"/>
  <c r="O424" i="1" s="1"/>
  <c r="L421" i="1"/>
  <c r="L422" i="1" s="1"/>
  <c r="L423" i="1" s="1"/>
  <c r="B215" i="1"/>
  <c r="R156" i="1" l="1"/>
  <c r="R183" i="1"/>
  <c r="R169" i="1"/>
  <c r="Q183" i="1"/>
  <c r="Q169" i="1"/>
  <c r="Q156" i="1"/>
  <c r="S156" i="1" s="1"/>
  <c r="T156" i="1" s="1"/>
  <c r="N426" i="1"/>
  <c r="M425" i="1"/>
  <c r="O425" i="1"/>
  <c r="O426" i="1"/>
  <c r="C134" i="10"/>
  <c r="C75" i="18" l="1"/>
  <c r="D13" i="10"/>
  <c r="B135" i="10"/>
  <c r="C135" i="10" s="1"/>
  <c r="D14" i="10" l="1"/>
  <c r="D12" i="10"/>
  <c r="F12" i="10" s="1"/>
  <c r="AI119" i="1" l="1"/>
  <c r="AI118" i="1"/>
  <c r="AI117" i="1"/>
  <c r="AH116" i="1"/>
  <c r="AI116" i="1" s="1"/>
  <c r="P119" i="1"/>
  <c r="O119" i="1"/>
  <c r="P118" i="1"/>
  <c r="O118" i="1"/>
  <c r="P117" i="1"/>
  <c r="O117" i="1"/>
  <c r="P116" i="1"/>
  <c r="O116" i="1"/>
  <c r="AJ116" i="1" l="1"/>
  <c r="AK116" i="1" s="1"/>
  <c r="AJ118" i="1"/>
  <c r="AK118" i="1" s="1"/>
  <c r="AJ117" i="1"/>
  <c r="AK117" i="1" s="1"/>
  <c r="AJ119" i="1"/>
  <c r="AK119" i="1" s="1"/>
  <c r="F76" i="15"/>
  <c r="I78" i="15"/>
  <c r="G78" i="15"/>
  <c r="F78" i="15"/>
  <c r="E78" i="15"/>
  <c r="D78" i="15"/>
  <c r="C78" i="15"/>
  <c r="B78" i="15"/>
  <c r="I77" i="15"/>
  <c r="I76" i="15"/>
  <c r="I75" i="15"/>
  <c r="I74" i="15"/>
  <c r="I73" i="15"/>
  <c r="I72" i="15"/>
  <c r="I71" i="15"/>
  <c r="I70" i="15"/>
  <c r="H76" i="15"/>
  <c r="G76" i="15"/>
  <c r="E76" i="15"/>
  <c r="D76" i="15"/>
  <c r="C76" i="15"/>
  <c r="B76" i="15"/>
  <c r="E63" i="15"/>
  <c r="I59" i="15"/>
  <c r="I64" i="15"/>
  <c r="I62" i="15"/>
  <c r="I61" i="15"/>
  <c r="I60" i="15"/>
  <c r="I58" i="15"/>
  <c r="I57" i="15"/>
  <c r="H63" i="15"/>
  <c r="G63" i="15"/>
  <c r="F63" i="15"/>
  <c r="D63" i="15"/>
  <c r="C63" i="15"/>
  <c r="B63" i="15"/>
  <c r="B64" i="15"/>
  <c r="N27" i="15"/>
  <c r="N26" i="15"/>
  <c r="N25" i="15"/>
  <c r="N24" i="15"/>
  <c r="N23" i="15"/>
  <c r="B68" i="18" l="1"/>
  <c r="I66" i="15"/>
  <c r="I79" i="15"/>
  <c r="B88" i="18" s="1"/>
  <c r="B90" i="18" s="1"/>
  <c r="F90" i="18" s="1"/>
  <c r="B75" i="18" l="1"/>
  <c r="E75" i="18" s="1"/>
  <c r="G86" i="31" s="1"/>
  <c r="F28" i="10"/>
  <c r="F24" i="10"/>
  <c r="C22" i="2"/>
  <c r="G86" i="13" l="1"/>
  <c r="C27" i="2"/>
  <c r="F92" i="18" l="1"/>
  <c r="P285" i="1"/>
  <c r="O285" i="1"/>
  <c r="N285" i="1"/>
  <c r="C94" i="13" l="1"/>
  <c r="C93" i="31"/>
  <c r="M12" i="18"/>
  <c r="P253" i="1"/>
  <c r="O253" i="1"/>
  <c r="C116" i="10" l="1"/>
  <c r="F35" i="10"/>
  <c r="B171" i="7"/>
  <c r="B172" i="7"/>
  <c r="B173" i="7"/>
  <c r="B174" i="7"/>
  <c r="B175" i="7"/>
  <c r="B176" i="7"/>
  <c r="B177" i="7"/>
  <c r="A180" i="7"/>
  <c r="B180" i="7"/>
  <c r="D180" i="7"/>
  <c r="E180" i="7"/>
  <c r="F180" i="7"/>
  <c r="A181" i="7"/>
  <c r="B181" i="7"/>
  <c r="D181" i="7"/>
  <c r="A182" i="7"/>
  <c r="B182" i="7"/>
  <c r="D182" i="7"/>
  <c r="E182" i="7"/>
  <c r="F182" i="7"/>
  <c r="A183" i="7"/>
  <c r="B183" i="7"/>
  <c r="D183" i="7"/>
  <c r="E183" i="7"/>
  <c r="F183" i="7"/>
  <c r="A184" i="7"/>
  <c r="B184" i="7"/>
  <c r="D184" i="7"/>
  <c r="E184" i="7"/>
  <c r="F184" i="7"/>
  <c r="A185" i="7"/>
  <c r="B185" i="7"/>
  <c r="D185" i="7"/>
  <c r="E185" i="7"/>
  <c r="F185" i="7"/>
  <c r="A171" i="7"/>
  <c r="D171" i="7"/>
  <c r="E171" i="7"/>
  <c r="A172" i="7"/>
  <c r="D172" i="7"/>
  <c r="E172" i="7"/>
  <c r="F172" i="7"/>
  <c r="A173" i="7"/>
  <c r="D173" i="7"/>
  <c r="E173" i="7"/>
  <c r="F173" i="7"/>
  <c r="A174" i="7"/>
  <c r="D174" i="7"/>
  <c r="E174" i="7"/>
  <c r="F174" i="7"/>
  <c r="A175" i="7"/>
  <c r="D175" i="7"/>
  <c r="E175" i="7"/>
  <c r="F175" i="7"/>
  <c r="A176" i="7"/>
  <c r="F176" i="7"/>
  <c r="A177" i="7"/>
  <c r="D177" i="7"/>
  <c r="E177" i="7"/>
  <c r="F177" i="7"/>
  <c r="A179" i="7"/>
  <c r="A156" i="7" l="1"/>
  <c r="B156" i="7"/>
  <c r="D156" i="7"/>
  <c r="E156" i="7"/>
  <c r="F156" i="7"/>
  <c r="A157" i="7"/>
  <c r="B157" i="7"/>
  <c r="D157" i="7"/>
  <c r="E157" i="7"/>
  <c r="F157" i="7"/>
  <c r="A158" i="7"/>
  <c r="B158" i="7"/>
  <c r="D158" i="7"/>
  <c r="A160" i="7"/>
  <c r="A161" i="7"/>
  <c r="B161" i="7"/>
  <c r="D161" i="7"/>
  <c r="E161" i="7"/>
  <c r="A162" i="7"/>
  <c r="B162" i="7"/>
  <c r="D162" i="7"/>
  <c r="E162" i="7"/>
  <c r="F162" i="7"/>
  <c r="A163" i="7"/>
  <c r="B163" i="7"/>
  <c r="D163" i="7"/>
  <c r="E163" i="7"/>
  <c r="F163" i="7"/>
  <c r="A164" i="7"/>
  <c r="B164" i="7"/>
  <c r="D164" i="7"/>
  <c r="E164" i="7"/>
  <c r="F164" i="7"/>
  <c r="A166" i="7"/>
  <c r="A167" i="7"/>
  <c r="B167" i="7"/>
  <c r="D167" i="7"/>
  <c r="A168" i="7"/>
  <c r="B168" i="7"/>
  <c r="D168" i="7"/>
  <c r="E168" i="7"/>
  <c r="A169" i="7"/>
  <c r="B169" i="7"/>
  <c r="D169" i="7"/>
  <c r="E169" i="7"/>
  <c r="A170" i="7"/>
  <c r="B170" i="7"/>
  <c r="D170" i="7"/>
  <c r="E170" i="7"/>
  <c r="F170" i="7"/>
  <c r="A152" i="7"/>
  <c r="A153" i="7"/>
  <c r="B153" i="7"/>
  <c r="D153" i="7"/>
  <c r="A154" i="7"/>
  <c r="B154" i="7"/>
  <c r="D154" i="7"/>
  <c r="E154" i="7"/>
  <c r="F154" i="7"/>
  <c r="A155" i="7"/>
  <c r="B155" i="7"/>
  <c r="D155" i="7"/>
  <c r="P340" i="1"/>
  <c r="O352" i="1"/>
  <c r="E181" i="7" s="1"/>
  <c r="P352" i="1"/>
  <c r="F181" i="7" s="1"/>
  <c r="O347" i="1"/>
  <c r="E176" i="7" s="1"/>
  <c r="N347" i="1"/>
  <c r="D176" i="7" s="1"/>
  <c r="P342" i="1"/>
  <c r="F171" i="7" s="1"/>
  <c r="P339" i="1"/>
  <c r="F168" i="7" s="1"/>
  <c r="P332" i="1"/>
  <c r="F169" i="7" l="1"/>
  <c r="F161" i="7"/>
  <c r="E26" i="23"/>
  <c r="E24" i="23"/>
  <c r="E22" i="23"/>
  <c r="E20" i="23"/>
  <c r="E18" i="23"/>
  <c r="E14" i="23"/>
  <c r="G13" i="23"/>
  <c r="G12" i="23"/>
  <c r="G10" i="23"/>
  <c r="E28" i="23" l="1"/>
  <c r="E29" i="23" s="1"/>
  <c r="P321" i="1"/>
  <c r="O321" i="1"/>
  <c r="P320" i="1"/>
  <c r="O320" i="1"/>
  <c r="P319" i="1"/>
  <c r="O319" i="1"/>
  <c r="P318" i="1"/>
  <c r="O318" i="1"/>
  <c r="P85" i="1"/>
  <c r="O85" i="1"/>
  <c r="N85" i="1"/>
  <c r="P48" i="1"/>
  <c r="O48" i="1"/>
  <c r="P149" i="1"/>
  <c r="O149" i="1"/>
  <c r="O147" i="1"/>
  <c r="P147" i="1"/>
  <c r="P148" i="1"/>
  <c r="O148" i="1"/>
  <c r="P49" i="1"/>
  <c r="O49" i="1"/>
  <c r="P47" i="1"/>
  <c r="O47"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5" i="1"/>
  <c r="O115" i="1"/>
  <c r="P114" i="1"/>
  <c r="O114" i="1"/>
  <c r="P113" i="1"/>
  <c r="O113" i="1"/>
  <c r="P329" i="1"/>
  <c r="O329" i="1"/>
  <c r="P338" i="1"/>
  <c r="O338" i="1"/>
  <c r="P326" i="1"/>
  <c r="O326" i="1"/>
  <c r="P324" i="1"/>
  <c r="O324"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280" i="1"/>
  <c r="O280" i="1"/>
  <c r="P279" i="1"/>
  <c r="O279" i="1"/>
  <c r="P278" i="1"/>
  <c r="O278" i="1"/>
  <c r="P277" i="1"/>
  <c r="O277" i="1"/>
  <c r="P267" i="1"/>
  <c r="O267" i="1"/>
  <c r="P266" i="1"/>
  <c r="O266" i="1"/>
  <c r="P265" i="1"/>
  <c r="O265" i="1"/>
  <c r="P82" i="1"/>
  <c r="O82" i="1"/>
  <c r="P81" i="1"/>
  <c r="O81" i="1"/>
  <c r="P80" i="1"/>
  <c r="O80" i="1"/>
  <c r="P79" i="1"/>
  <c r="O79" i="1"/>
  <c r="P78" i="1"/>
  <c r="O78" i="1"/>
  <c r="P73" i="1"/>
  <c r="O73" i="1"/>
  <c r="P72" i="1"/>
  <c r="O72" i="1"/>
  <c r="P71" i="1"/>
  <c r="O71" i="1"/>
  <c r="P70" i="1"/>
  <c r="O70" i="1"/>
  <c r="P69" i="1"/>
  <c r="O69" i="1"/>
  <c r="P66" i="1"/>
  <c r="O66" i="1"/>
  <c r="P63" i="1"/>
  <c r="O63" i="1"/>
  <c r="P62" i="1"/>
  <c r="O62" i="1"/>
  <c r="P61" i="1"/>
  <c r="O61" i="1"/>
  <c r="P59" i="1"/>
  <c r="O59" i="1"/>
  <c r="P58" i="1"/>
  <c r="O58" i="1"/>
  <c r="P57" i="1"/>
  <c r="O57" i="1"/>
  <c r="P56" i="1"/>
  <c r="O56" i="1"/>
  <c r="P55" i="1"/>
  <c r="O55" i="1"/>
  <c r="P54" i="1"/>
  <c r="O54" i="1"/>
  <c r="P53" i="1"/>
  <c r="O53" i="1"/>
  <c r="P52" i="1"/>
  <c r="O52" i="1"/>
  <c r="P46" i="1"/>
  <c r="O46" i="1"/>
  <c r="P45" i="1"/>
  <c r="O45" i="1"/>
  <c r="P44" i="1"/>
  <c r="O44" i="1"/>
  <c r="P43" i="1"/>
  <c r="O43" i="1"/>
  <c r="N41" i="1"/>
  <c r="N295" i="1"/>
  <c r="N275" i="1"/>
  <c r="N255" i="1"/>
  <c r="N257" i="1" s="1"/>
  <c r="N64" i="1"/>
  <c r="N65" i="1"/>
  <c r="L13" i="23" l="1"/>
  <c r="C105" i="31" s="1"/>
  <c r="L14" i="23"/>
  <c r="B54" i="31" s="1"/>
  <c r="E153" i="7"/>
  <c r="E155" i="7"/>
  <c r="E167" i="7"/>
  <c r="E158" i="7"/>
  <c r="F153" i="7"/>
  <c r="F155" i="7"/>
  <c r="F167" i="7"/>
  <c r="F158" i="7"/>
  <c r="C106" i="13"/>
  <c r="C232" i="7"/>
  <c r="D232" i="7" s="1"/>
  <c r="C231" i="7"/>
  <c r="D231" i="7" s="1"/>
  <c r="C230" i="7"/>
  <c r="D230" i="7" s="1"/>
  <c r="C229" i="7"/>
  <c r="D229" i="7" s="1"/>
  <c r="C105" i="13" l="1"/>
  <c r="B54" i="13"/>
  <c r="E19" i="12"/>
  <c r="C120" i="10"/>
  <c r="D120" i="10" s="1"/>
  <c r="D19" i="12" s="1"/>
  <c r="E20" i="12"/>
  <c r="C25" i="4"/>
  <c r="C24" i="4"/>
  <c r="F25" i="10"/>
  <c r="B77" i="13"/>
  <c r="B76" i="13"/>
  <c r="B74" i="13"/>
  <c r="B73" i="13"/>
  <c r="B72" i="13"/>
  <c r="B71" i="13"/>
  <c r="B70" i="13"/>
  <c r="B69" i="13"/>
  <c r="B68" i="13"/>
  <c r="G89" i="1"/>
  <c r="G90" i="1"/>
  <c r="G91" i="1"/>
  <c r="O296" i="1"/>
  <c r="N296" i="1"/>
  <c r="P295" i="1"/>
  <c r="P297" i="1"/>
  <c r="O297" i="1"/>
  <c r="N297" i="1"/>
  <c r="P296" i="1"/>
  <c r="O295" i="1"/>
  <c r="O275" i="1"/>
  <c r="P275" i="1"/>
  <c r="B58" i="15"/>
  <c r="O65" i="1"/>
  <c r="P65" i="1"/>
  <c r="O64" i="1"/>
  <c r="P64" i="1"/>
  <c r="C12" i="2"/>
  <c r="C73" i="20"/>
  <c r="F44" i="9"/>
  <c r="M15" i="9" s="1"/>
  <c r="C98" i="31" s="1"/>
  <c r="F41" i="9"/>
  <c r="M14" i="9" s="1"/>
  <c r="C97" i="31" s="1"/>
  <c r="J13" i="4" l="1"/>
  <c r="C85" i="31" s="1"/>
  <c r="C11" i="20"/>
  <c r="C115" i="10"/>
  <c r="C53" i="20"/>
  <c r="C65" i="20"/>
  <c r="C58" i="20"/>
  <c r="C57" i="20"/>
  <c r="C49" i="20"/>
  <c r="C48" i="20"/>
  <c r="C51" i="20"/>
  <c r="C45" i="20"/>
  <c r="C39" i="20"/>
  <c r="C32" i="20"/>
  <c r="C64" i="20"/>
  <c r="C63" i="20"/>
  <c r="C62" i="20"/>
  <c r="C61" i="20"/>
  <c r="C60" i="20"/>
  <c r="C56" i="20"/>
  <c r="C55" i="20"/>
  <c r="C54" i="20"/>
  <c r="C52" i="20"/>
  <c r="C50" i="20"/>
  <c r="C47" i="20"/>
  <c r="C34" i="20"/>
  <c r="C33" i="20"/>
  <c r="C29" i="20"/>
  <c r="C28" i="20"/>
  <c r="C27" i="20"/>
  <c r="C25" i="20"/>
  <c r="C24" i="20"/>
  <c r="C23" i="20"/>
  <c r="C21" i="20"/>
  <c r="C20" i="20"/>
  <c r="C19" i="20"/>
  <c r="C17" i="20"/>
  <c r="C18" i="20"/>
  <c r="C16" i="20"/>
  <c r="C15" i="20"/>
  <c r="C10" i="20"/>
  <c r="A93" i="7"/>
  <c r="A94" i="7"/>
  <c r="A95" i="7"/>
  <c r="A96" i="7"/>
  <c r="A97" i="7"/>
  <c r="A98" i="7"/>
  <c r="A129" i="7"/>
  <c r="A118" i="7"/>
  <c r="A119" i="7"/>
  <c r="A120" i="7"/>
  <c r="A121" i="7"/>
  <c r="A122" i="7"/>
  <c r="A123" i="7"/>
  <c r="A124" i="7"/>
  <c r="A125" i="7"/>
  <c r="A126" i="7"/>
  <c r="A127" i="7"/>
  <c r="A113" i="7"/>
  <c r="A114" i="7"/>
  <c r="A115" i="7"/>
  <c r="A101" i="7"/>
  <c r="A102" i="7"/>
  <c r="A103" i="7"/>
  <c r="A104" i="7"/>
  <c r="A105" i="7"/>
  <c r="A106" i="7"/>
  <c r="A107" i="7"/>
  <c r="A108" i="7"/>
  <c r="A109" i="7"/>
  <c r="A110" i="7"/>
  <c r="A90" i="7"/>
  <c r="A91" i="7"/>
  <c r="A92" i="7"/>
  <c r="A74" i="7"/>
  <c r="A75" i="7"/>
  <c r="A76" i="7"/>
  <c r="A77" i="7"/>
  <c r="A78" i="7"/>
  <c r="A79" i="7"/>
  <c r="A80" i="7"/>
  <c r="A81" i="7"/>
  <c r="A82" i="7"/>
  <c r="A83" i="7"/>
  <c r="A84" i="7"/>
  <c r="A85" i="7"/>
  <c r="A86" i="7"/>
  <c r="A70" i="7"/>
  <c r="B70" i="7"/>
  <c r="C70" i="7"/>
  <c r="D70" i="7"/>
  <c r="E70" i="7"/>
  <c r="F70" i="7"/>
  <c r="G70" i="7"/>
  <c r="H70" i="7"/>
  <c r="I70" i="7"/>
  <c r="A67" i="7"/>
  <c r="A68" i="7"/>
  <c r="B68" i="7"/>
  <c r="C68" i="7"/>
  <c r="D68" i="7"/>
  <c r="E68" i="7"/>
  <c r="F68" i="7"/>
  <c r="G68" i="7"/>
  <c r="H68" i="7"/>
  <c r="I68" i="7"/>
  <c r="A69" i="7"/>
  <c r="B69" i="7"/>
  <c r="C69" i="7"/>
  <c r="D69" i="7"/>
  <c r="E69" i="7"/>
  <c r="F69" i="7"/>
  <c r="G69" i="7"/>
  <c r="H69" i="7"/>
  <c r="I69" i="7"/>
  <c r="A20" i="7"/>
  <c r="B20" i="7"/>
  <c r="D20" i="7"/>
  <c r="E20" i="7"/>
  <c r="F20" i="7"/>
  <c r="A21" i="7"/>
  <c r="B21" i="7"/>
  <c r="D21" i="7"/>
  <c r="E21" i="7"/>
  <c r="F21" i="7"/>
  <c r="A22" i="7"/>
  <c r="B22" i="7"/>
  <c r="D22" i="7"/>
  <c r="E22" i="7"/>
  <c r="F22" i="7"/>
  <c r="A23" i="7"/>
  <c r="B23" i="7"/>
  <c r="D23" i="7"/>
  <c r="E23" i="7"/>
  <c r="F23" i="7"/>
  <c r="A24" i="7"/>
  <c r="B24" i="7"/>
  <c r="C24" i="7"/>
  <c r="D24" i="7"/>
  <c r="E24" i="7"/>
  <c r="F24" i="7"/>
  <c r="G24" i="7"/>
  <c r="H24" i="7"/>
  <c r="I24" i="7"/>
  <c r="A25" i="7"/>
  <c r="B25" i="7"/>
  <c r="C25" i="7"/>
  <c r="A26" i="7"/>
  <c r="B26" i="7"/>
  <c r="C26" i="7"/>
  <c r="D26" i="7"/>
  <c r="E26" i="7"/>
  <c r="F26" i="7"/>
  <c r="G26" i="7"/>
  <c r="H26" i="7"/>
  <c r="I26" i="7"/>
  <c r="A27" i="7"/>
  <c r="B27" i="7"/>
  <c r="C27" i="7"/>
  <c r="D27" i="7"/>
  <c r="E27" i="7"/>
  <c r="F27" i="7"/>
  <c r="G27" i="7"/>
  <c r="H27" i="7"/>
  <c r="I27" i="7"/>
  <c r="A28" i="7"/>
  <c r="B28" i="7"/>
  <c r="C28" i="7"/>
  <c r="D28" i="7"/>
  <c r="E28" i="7"/>
  <c r="F28" i="7"/>
  <c r="G28" i="7"/>
  <c r="H28" i="7"/>
  <c r="I28" i="7"/>
  <c r="A29" i="7"/>
  <c r="B29" i="7"/>
  <c r="C29" i="7"/>
  <c r="D29" i="7"/>
  <c r="E29" i="7"/>
  <c r="F29" i="7"/>
  <c r="G29" i="7"/>
  <c r="H29" i="7"/>
  <c r="I29" i="7"/>
  <c r="A30" i="7"/>
  <c r="B30" i="7"/>
  <c r="D30" i="7"/>
  <c r="E30" i="7"/>
  <c r="F30" i="7"/>
  <c r="A31" i="7"/>
  <c r="B31" i="7"/>
  <c r="C31" i="7"/>
  <c r="D31" i="7"/>
  <c r="E31" i="7"/>
  <c r="F31" i="7"/>
  <c r="G31" i="7"/>
  <c r="H31" i="7"/>
  <c r="I31" i="7"/>
  <c r="A32" i="7"/>
  <c r="B32" i="7"/>
  <c r="C32" i="7"/>
  <c r="D32" i="7"/>
  <c r="E32" i="7"/>
  <c r="F32" i="7"/>
  <c r="G32" i="7"/>
  <c r="H32" i="7"/>
  <c r="I32" i="7"/>
  <c r="A33" i="7"/>
  <c r="B33" i="7"/>
  <c r="C33" i="7"/>
  <c r="D33" i="7"/>
  <c r="E33" i="7"/>
  <c r="F33" i="7"/>
  <c r="G33" i="7"/>
  <c r="H33" i="7"/>
  <c r="I33" i="7"/>
  <c r="A34" i="7"/>
  <c r="B34" i="7"/>
  <c r="C34" i="7"/>
  <c r="D34" i="7"/>
  <c r="E34" i="7"/>
  <c r="F34" i="7"/>
  <c r="G34" i="7"/>
  <c r="H34" i="7"/>
  <c r="I34" i="7"/>
  <c r="A35" i="7"/>
  <c r="A36" i="7"/>
  <c r="B36" i="7"/>
  <c r="C36" i="7"/>
  <c r="D36" i="7"/>
  <c r="E36" i="7"/>
  <c r="F36" i="7"/>
  <c r="G36" i="7"/>
  <c r="H36" i="7"/>
  <c r="I36" i="7"/>
  <c r="A37" i="7"/>
  <c r="B37" i="7"/>
  <c r="C37" i="7"/>
  <c r="D37" i="7"/>
  <c r="E37" i="7"/>
  <c r="F37" i="7"/>
  <c r="G37" i="7"/>
  <c r="H37" i="7"/>
  <c r="I37" i="7"/>
  <c r="A38" i="7"/>
  <c r="B38" i="7"/>
  <c r="C38" i="7"/>
  <c r="D38" i="7"/>
  <c r="E38" i="7"/>
  <c r="F38" i="7"/>
  <c r="G38" i="7"/>
  <c r="H38" i="7"/>
  <c r="I38" i="7"/>
  <c r="A39" i="7"/>
  <c r="B39" i="7"/>
  <c r="C39" i="7"/>
  <c r="D39" i="7"/>
  <c r="E39" i="7"/>
  <c r="F39" i="7"/>
  <c r="G39" i="7"/>
  <c r="H39" i="7"/>
  <c r="I39" i="7"/>
  <c r="A40" i="7"/>
  <c r="B40" i="7"/>
  <c r="C40" i="7"/>
  <c r="D40" i="7"/>
  <c r="E40" i="7"/>
  <c r="F40" i="7"/>
  <c r="G40" i="7"/>
  <c r="H40" i="7"/>
  <c r="I40" i="7"/>
  <c r="A41" i="7"/>
  <c r="B41" i="7"/>
  <c r="C41" i="7"/>
  <c r="D41" i="7"/>
  <c r="E41" i="7"/>
  <c r="F41" i="7"/>
  <c r="G41" i="7"/>
  <c r="H41" i="7"/>
  <c r="I41" i="7"/>
  <c r="A42" i="7"/>
  <c r="B42" i="7"/>
  <c r="C42" i="7"/>
  <c r="D42" i="7"/>
  <c r="E42" i="7"/>
  <c r="F42" i="7"/>
  <c r="G42" i="7"/>
  <c r="H42" i="7"/>
  <c r="I42" i="7"/>
  <c r="A43" i="7"/>
  <c r="B43" i="7"/>
  <c r="C43" i="7"/>
  <c r="D43" i="7"/>
  <c r="E43" i="7"/>
  <c r="F43" i="7"/>
  <c r="G43" i="7"/>
  <c r="H43" i="7"/>
  <c r="I43" i="7"/>
  <c r="A44" i="7"/>
  <c r="B44" i="7"/>
  <c r="C44" i="7"/>
  <c r="D44" i="7"/>
  <c r="E44" i="7"/>
  <c r="F44" i="7"/>
  <c r="G44" i="7"/>
  <c r="H44" i="7"/>
  <c r="I44" i="7"/>
  <c r="A45" i="7"/>
  <c r="B45" i="7"/>
  <c r="C45" i="7"/>
  <c r="D45" i="7"/>
  <c r="E45" i="7"/>
  <c r="F45" i="7"/>
  <c r="G45" i="7"/>
  <c r="H45" i="7"/>
  <c r="I45" i="7"/>
  <c r="A46" i="7"/>
  <c r="B46" i="7"/>
  <c r="C46" i="7"/>
  <c r="D46" i="7"/>
  <c r="E46" i="7"/>
  <c r="F46" i="7"/>
  <c r="G46" i="7"/>
  <c r="H46" i="7"/>
  <c r="I46" i="7"/>
  <c r="A47" i="7"/>
  <c r="B47" i="7"/>
  <c r="C47" i="7"/>
  <c r="D47" i="7"/>
  <c r="E47" i="7"/>
  <c r="F47" i="7"/>
  <c r="G47" i="7"/>
  <c r="H47" i="7"/>
  <c r="I47" i="7"/>
  <c r="A48" i="7"/>
  <c r="B48" i="7"/>
  <c r="C48" i="7"/>
  <c r="D48" i="7"/>
  <c r="E48" i="7"/>
  <c r="F48" i="7"/>
  <c r="G48" i="7"/>
  <c r="H48" i="7"/>
  <c r="I48" i="7"/>
  <c r="A49" i="7"/>
  <c r="B49" i="7"/>
  <c r="C49" i="7"/>
  <c r="D49" i="7"/>
  <c r="E49" i="7"/>
  <c r="F49" i="7"/>
  <c r="G49" i="7"/>
  <c r="H49" i="7"/>
  <c r="I49" i="7"/>
  <c r="A50" i="7"/>
  <c r="B50" i="7"/>
  <c r="C50" i="7"/>
  <c r="D50" i="7"/>
  <c r="E50" i="7"/>
  <c r="F50" i="7"/>
  <c r="G50" i="7"/>
  <c r="H50" i="7"/>
  <c r="I50" i="7"/>
  <c r="A51" i="7"/>
  <c r="A52" i="7"/>
  <c r="B52" i="7"/>
  <c r="C52" i="7"/>
  <c r="D52" i="7"/>
  <c r="E52" i="7"/>
  <c r="F52" i="7"/>
  <c r="G52" i="7"/>
  <c r="H52" i="7"/>
  <c r="I52" i="7"/>
  <c r="A53" i="7"/>
  <c r="B53" i="7"/>
  <c r="C53" i="7"/>
  <c r="D53" i="7"/>
  <c r="E53" i="7"/>
  <c r="F53" i="7"/>
  <c r="G53" i="7"/>
  <c r="H53" i="7"/>
  <c r="I53" i="7"/>
  <c r="A54" i="7"/>
  <c r="B54" i="7"/>
  <c r="C54" i="7"/>
  <c r="D54" i="7"/>
  <c r="E54" i="7"/>
  <c r="F54" i="7"/>
  <c r="G54" i="7"/>
  <c r="H54" i="7"/>
  <c r="I54" i="7"/>
  <c r="A55" i="7"/>
  <c r="B55" i="7"/>
  <c r="C55" i="7"/>
  <c r="D55" i="7"/>
  <c r="E55" i="7"/>
  <c r="F55" i="7"/>
  <c r="G55" i="7"/>
  <c r="H55" i="7"/>
  <c r="I55" i="7"/>
  <c r="A56" i="7"/>
  <c r="B56" i="7"/>
  <c r="C56" i="7"/>
  <c r="D56" i="7"/>
  <c r="E56" i="7"/>
  <c r="F56" i="7"/>
  <c r="G56" i="7"/>
  <c r="H56" i="7"/>
  <c r="I56" i="7"/>
  <c r="A57" i="7"/>
  <c r="B57" i="7"/>
  <c r="C57" i="7"/>
  <c r="D57" i="7"/>
  <c r="E57" i="7"/>
  <c r="F57" i="7"/>
  <c r="G57" i="7"/>
  <c r="H57" i="7"/>
  <c r="I57" i="7"/>
  <c r="A58" i="7"/>
  <c r="B58" i="7"/>
  <c r="C58" i="7"/>
  <c r="D58" i="7"/>
  <c r="E58" i="7"/>
  <c r="F58" i="7"/>
  <c r="G58" i="7"/>
  <c r="H58" i="7"/>
  <c r="I58" i="7"/>
  <c r="A59" i="7"/>
  <c r="B59" i="7"/>
  <c r="C59" i="7"/>
  <c r="D59" i="7"/>
  <c r="E59" i="7"/>
  <c r="F59" i="7"/>
  <c r="G59" i="7"/>
  <c r="H59" i="7"/>
  <c r="I59" i="7"/>
  <c r="A60" i="7"/>
  <c r="B60" i="7"/>
  <c r="C60" i="7"/>
  <c r="D60" i="7"/>
  <c r="E60" i="7"/>
  <c r="F60" i="7"/>
  <c r="G60" i="7"/>
  <c r="H60" i="7"/>
  <c r="I60" i="7"/>
  <c r="A61" i="7"/>
  <c r="B61" i="7"/>
  <c r="C61" i="7"/>
  <c r="D61" i="7"/>
  <c r="E61" i="7"/>
  <c r="F61" i="7"/>
  <c r="G61" i="7"/>
  <c r="H61" i="7"/>
  <c r="I61" i="7"/>
  <c r="A63" i="7"/>
  <c r="B63" i="7"/>
  <c r="C63" i="7"/>
  <c r="D63" i="7"/>
  <c r="E63" i="7"/>
  <c r="F63" i="7"/>
  <c r="G63" i="7"/>
  <c r="H63" i="7"/>
  <c r="I63" i="7"/>
  <c r="A64" i="7"/>
  <c r="B64" i="7"/>
  <c r="C64" i="7"/>
  <c r="D64" i="7"/>
  <c r="E64" i="7"/>
  <c r="F64" i="7"/>
  <c r="G64" i="7"/>
  <c r="H64" i="7"/>
  <c r="I64" i="7"/>
  <c r="A65" i="7"/>
  <c r="B65" i="7"/>
  <c r="C65" i="7"/>
  <c r="D65" i="7"/>
  <c r="E65" i="7"/>
  <c r="F65" i="7"/>
  <c r="G65" i="7"/>
  <c r="H65" i="7"/>
  <c r="I65" i="7"/>
  <c r="A19" i="7"/>
  <c r="B19" i="7"/>
  <c r="C19" i="7"/>
  <c r="D19" i="7"/>
  <c r="E19" i="7"/>
  <c r="F19" i="7"/>
  <c r="G19" i="7"/>
  <c r="H19" i="7"/>
  <c r="I19" i="7"/>
  <c r="A73" i="7"/>
  <c r="B73" i="7"/>
  <c r="C73" i="7"/>
  <c r="D73" i="7"/>
  <c r="E73" i="7"/>
  <c r="F73" i="7"/>
  <c r="B74" i="7"/>
  <c r="C74" i="7"/>
  <c r="D74" i="7"/>
  <c r="E74" i="7"/>
  <c r="F74" i="7"/>
  <c r="B75" i="7"/>
  <c r="C75" i="7"/>
  <c r="D75" i="7"/>
  <c r="E75" i="7"/>
  <c r="F75" i="7"/>
  <c r="B76" i="7"/>
  <c r="C76" i="7"/>
  <c r="D76" i="7"/>
  <c r="E76" i="7"/>
  <c r="F76" i="7"/>
  <c r="B77" i="7"/>
  <c r="C77" i="7"/>
  <c r="D77" i="7"/>
  <c r="E77" i="7"/>
  <c r="F77" i="7"/>
  <c r="B78" i="7"/>
  <c r="C78" i="7"/>
  <c r="D78" i="7"/>
  <c r="E78" i="7"/>
  <c r="F78" i="7"/>
  <c r="B79" i="7"/>
  <c r="C79" i="7"/>
  <c r="D79" i="7"/>
  <c r="E79" i="7"/>
  <c r="F79" i="7"/>
  <c r="B80" i="7"/>
  <c r="C80" i="7"/>
  <c r="D80" i="7"/>
  <c r="E80" i="7"/>
  <c r="F80" i="7"/>
  <c r="B81" i="7"/>
  <c r="C81" i="7"/>
  <c r="D81" i="7"/>
  <c r="E81" i="7"/>
  <c r="F81" i="7"/>
  <c r="B82" i="7"/>
  <c r="C82" i="7"/>
  <c r="D82" i="7"/>
  <c r="E82" i="7"/>
  <c r="F82" i="7"/>
  <c r="B83" i="7"/>
  <c r="C83" i="7"/>
  <c r="D83" i="7"/>
  <c r="E83" i="7"/>
  <c r="F83" i="7"/>
  <c r="B84" i="7"/>
  <c r="C84" i="7"/>
  <c r="B85" i="7"/>
  <c r="C85" i="7"/>
  <c r="D85" i="7"/>
  <c r="E85" i="7"/>
  <c r="F85" i="7"/>
  <c r="B86" i="7"/>
  <c r="C86" i="7"/>
  <c r="G50" i="1"/>
  <c r="G49" i="1"/>
  <c r="G48" i="1"/>
  <c r="G47" i="1"/>
  <c r="B90" i="7"/>
  <c r="C90" i="7"/>
  <c r="D90" i="7"/>
  <c r="E90" i="7"/>
  <c r="F90" i="7"/>
  <c r="G90" i="7"/>
  <c r="H90" i="7"/>
  <c r="I90" i="7"/>
  <c r="B91" i="7"/>
  <c r="C91" i="7"/>
  <c r="D91" i="7"/>
  <c r="E91" i="7"/>
  <c r="F91" i="7"/>
  <c r="G91" i="7"/>
  <c r="H91" i="7"/>
  <c r="I91" i="7"/>
  <c r="B92" i="7"/>
  <c r="C92" i="7"/>
  <c r="D92" i="7"/>
  <c r="E92" i="7"/>
  <c r="F92" i="7"/>
  <c r="G92" i="7"/>
  <c r="H92" i="7"/>
  <c r="I92" i="7"/>
  <c r="B93" i="7"/>
  <c r="C93" i="7"/>
  <c r="D93" i="7"/>
  <c r="E93" i="7"/>
  <c r="F93" i="7"/>
  <c r="G93" i="7"/>
  <c r="H93" i="7"/>
  <c r="I93" i="7"/>
  <c r="B94" i="7"/>
  <c r="C94" i="7"/>
  <c r="D94" i="7"/>
  <c r="E94" i="7"/>
  <c r="F94" i="7"/>
  <c r="G94" i="7"/>
  <c r="H94" i="7"/>
  <c r="I94" i="7"/>
  <c r="B95" i="7"/>
  <c r="C95" i="7"/>
  <c r="D95" i="7"/>
  <c r="E95" i="7"/>
  <c r="F95" i="7"/>
  <c r="G95" i="7"/>
  <c r="H95" i="7"/>
  <c r="I95" i="7"/>
  <c r="B96" i="7"/>
  <c r="C96" i="7"/>
  <c r="D96" i="7"/>
  <c r="E96" i="7"/>
  <c r="F96" i="7"/>
  <c r="G96" i="7"/>
  <c r="H96" i="7"/>
  <c r="I96" i="7"/>
  <c r="B97" i="7"/>
  <c r="C97" i="7"/>
  <c r="D97" i="7"/>
  <c r="E97" i="7"/>
  <c r="F97" i="7"/>
  <c r="G97" i="7"/>
  <c r="H97" i="7"/>
  <c r="I97" i="7"/>
  <c r="B98" i="7"/>
  <c r="C98" i="7"/>
  <c r="D98" i="7"/>
  <c r="E98" i="7"/>
  <c r="F98" i="7"/>
  <c r="G98" i="7"/>
  <c r="H98" i="7"/>
  <c r="I98" i="7"/>
  <c r="B2" i="20"/>
  <c r="AI15" i="20"/>
  <c r="AJ15" i="20" s="1"/>
  <c r="AI16" i="20"/>
  <c r="AJ16" i="20" s="1"/>
  <c r="AI19" i="20"/>
  <c r="AJ19" i="20" s="1"/>
  <c r="AI20" i="20"/>
  <c r="AJ20" i="20" s="1"/>
  <c r="AI21" i="20"/>
  <c r="AJ21" i="20" s="1"/>
  <c r="AI25" i="20"/>
  <c r="AJ25" i="20" s="1"/>
  <c r="R36" i="20"/>
  <c r="R37" i="20"/>
  <c r="R38" i="20"/>
  <c r="C71" i="20"/>
  <c r="G71" i="20"/>
  <c r="C72" i="20"/>
  <c r="C9" i="20" s="1"/>
  <c r="G72" i="20"/>
  <c r="AI23" i="20" s="1"/>
  <c r="AJ23" i="20" s="1"/>
  <c r="C12" i="20"/>
  <c r="G73" i="20"/>
  <c r="G74" i="20"/>
  <c r="G75" i="20"/>
  <c r="B76" i="20" a="1"/>
  <c r="B76" i="20" s="1"/>
  <c r="D76" i="20" a="1"/>
  <c r="D76" i="20" s="1"/>
  <c r="G76" i="20"/>
  <c r="G77" i="20"/>
  <c r="G79" i="20"/>
  <c r="G80" i="20"/>
  <c r="G81" i="20"/>
  <c r="G82" i="20"/>
  <c r="G83" i="20"/>
  <c r="G84" i="20"/>
  <c r="G85" i="20"/>
  <c r="K85" i="20"/>
  <c r="G86" i="20"/>
  <c r="G87" i="20"/>
  <c r="G88" i="20"/>
  <c r="G90" i="20"/>
  <c r="G91" i="20"/>
  <c r="G93" i="20"/>
  <c r="G94" i="20"/>
  <c r="G95" i="20"/>
  <c r="G96" i="20"/>
  <c r="G97" i="20"/>
  <c r="R97" i="20"/>
  <c r="G98" i="20"/>
  <c r="D99" i="20"/>
  <c r="AI22" i="20" s="1"/>
  <c r="AJ22" i="20" s="1"/>
  <c r="G99" i="20"/>
  <c r="AI33" i="20" s="1"/>
  <c r="AJ33" i="20" s="1"/>
  <c r="G100" i="20"/>
  <c r="D101" i="20" a="1"/>
  <c r="D101" i="20" s="1"/>
  <c r="G101" i="20"/>
  <c r="AI36" i="20" s="1"/>
  <c r="AJ36" i="20" s="1"/>
  <c r="G102" i="20"/>
  <c r="G103" i="20"/>
  <c r="R103" i="20"/>
  <c r="S103" i="20" s="1"/>
  <c r="G104" i="20"/>
  <c r="G105" i="20"/>
  <c r="G106" i="20"/>
  <c r="AI37" i="20" s="1"/>
  <c r="AJ37" i="20" s="1"/>
  <c r="G107" i="20"/>
  <c r="AI39" i="20" s="1"/>
  <c r="AJ39" i="20" s="1"/>
  <c r="G108" i="20"/>
  <c r="AI40" i="20" s="1"/>
  <c r="AJ40" i="20" s="1"/>
  <c r="G109" i="20"/>
  <c r="G110" i="20"/>
  <c r="G111" i="20"/>
  <c r="G112" i="20"/>
  <c r="F132" i="20"/>
  <c r="F134" i="20"/>
  <c r="F135" i="20"/>
  <c r="F136" i="20"/>
  <c r="F137" i="20"/>
  <c r="F140" i="20"/>
  <c r="F141" i="20"/>
  <c r="F142" i="20"/>
  <c r="F143" i="20"/>
  <c r="F145" i="20"/>
  <c r="R154" i="20"/>
  <c r="C223" i="20"/>
  <c r="D223" i="20"/>
  <c r="C224" i="20"/>
  <c r="D224" i="20"/>
  <c r="C225" i="20"/>
  <c r="D225" i="20"/>
  <c r="C227" i="20"/>
  <c r="D227" i="20"/>
  <c r="C228" i="20"/>
  <c r="D228" i="20"/>
  <c r="C229" i="20"/>
  <c r="D229" i="20"/>
  <c r="C230" i="20"/>
  <c r="D230" i="20"/>
  <c r="C232" i="20"/>
  <c r="D232" i="20"/>
  <c r="C233" i="20"/>
  <c r="D233" i="20"/>
  <c r="C234" i="20"/>
  <c r="D234" i="20"/>
  <c r="C235" i="20"/>
  <c r="D235" i="20"/>
  <c r="B258" i="20"/>
  <c r="B259" i="20" s="1"/>
  <c r="B260" i="20" s="1"/>
  <c r="B261" i="20" s="1"/>
  <c r="B262" i="20" s="1"/>
  <c r="B263" i="20" s="1"/>
  <c r="B264" i="20" s="1"/>
  <c r="B265" i="20" s="1"/>
  <c r="B266" i="20" s="1"/>
  <c r="B267" i="20" s="1"/>
  <c r="B268" i="20" s="1"/>
  <c r="B269" i="20" s="1"/>
  <c r="B270" i="20" s="1"/>
  <c r="B271" i="20" s="1"/>
  <c r="B272" i="20" s="1"/>
  <c r="B273" i="20" s="1"/>
  <c r="B274" i="20" s="1"/>
  <c r="B275" i="20" s="1"/>
  <c r="B276" i="20" s="1"/>
  <c r="B277" i="20" s="1"/>
  <c r="B278" i="20" s="1"/>
  <c r="B279" i="20" s="1"/>
  <c r="B280" i="20" s="1"/>
  <c r="B281" i="20" s="1"/>
  <c r="B282" i="20" s="1"/>
  <c r="B284" i="20"/>
  <c r="B285" i="20" s="1"/>
  <c r="B286" i="20" s="1"/>
  <c r="B287" i="20" s="1"/>
  <c r="B288" i="20" s="1"/>
  <c r="B289" i="20" s="1"/>
  <c r="B290" i="20" s="1"/>
  <c r="B291" i="20" s="1"/>
  <c r="B292" i="20" s="1"/>
  <c r="B293" i="20" s="1"/>
  <c r="B294" i="20" s="1"/>
  <c r="B298" i="20"/>
  <c r="B299" i="20" s="1"/>
  <c r="B300" i="20" s="1"/>
  <c r="B301" i="20" s="1"/>
  <c r="B302" i="20" s="1"/>
  <c r="B303" i="20" s="1"/>
  <c r="B304" i="20" s="1"/>
  <c r="B305" i="20" s="1"/>
  <c r="B306" i="20" s="1"/>
  <c r="B307" i="20" s="1"/>
  <c r="B308" i="20" s="1"/>
  <c r="B309" i="20" s="1"/>
  <c r="B310" i="20" s="1"/>
  <c r="B311" i="20" s="1"/>
  <c r="B314" i="20"/>
  <c r="B315" i="20" s="1"/>
  <c r="B316" i="20" s="1"/>
  <c r="B317" i="20" s="1"/>
  <c r="B318" i="20" s="1"/>
  <c r="B319" i="20" s="1"/>
  <c r="B320" i="20" s="1"/>
  <c r="B321" i="20" s="1"/>
  <c r="B322" i="20" s="1"/>
  <c r="B323" i="20" s="1"/>
  <c r="B324" i="20" s="1"/>
  <c r="B325" i="20" s="1"/>
  <c r="B326" i="20" s="1"/>
  <c r="B327" i="20" s="1"/>
  <c r="B328" i="20" s="1"/>
  <c r="B353" i="20"/>
  <c r="B354" i="20" s="1"/>
  <c r="B355" i="20" s="1"/>
  <c r="B356" i="20" s="1"/>
  <c r="B357" i="20" s="1"/>
  <c r="B358" i="20" s="1"/>
  <c r="B359" i="20" s="1"/>
  <c r="B360" i="20" s="1"/>
  <c r="B361" i="20" s="1"/>
  <c r="B362" i="20" s="1"/>
  <c r="B363" i="20" s="1"/>
  <c r="B364" i="20" s="1"/>
  <c r="B365" i="20" s="1"/>
  <c r="B366" i="20" s="1"/>
  <c r="B367" i="20" s="1"/>
  <c r="B368" i="20" s="1"/>
  <c r="B369" i="20" s="1"/>
  <c r="B370" i="20" s="1"/>
  <c r="B371" i="20" s="1"/>
  <c r="B372" i="20" s="1"/>
  <c r="B373" i="20" s="1"/>
  <c r="B374" i="20" s="1"/>
  <c r="B375" i="20" s="1"/>
  <c r="B376" i="20" s="1"/>
  <c r="B377" i="20" s="1"/>
  <c r="B378" i="20" s="1"/>
  <c r="B379" i="20" s="1"/>
  <c r="B380" i="20" s="1"/>
  <c r="B381" i="20" s="1"/>
  <c r="B383" i="20"/>
  <c r="B384" i="20" s="1"/>
  <c r="B385" i="20" s="1"/>
  <c r="B386" i="20" s="1"/>
  <c r="B387" i="20" s="1"/>
  <c r="B388" i="20" s="1"/>
  <c r="B389" i="20" s="1"/>
  <c r="B390" i="20" s="1"/>
  <c r="B391" i="20" s="1"/>
  <c r="B392" i="20" s="1"/>
  <c r="B393" i="20" s="1"/>
  <c r="B394" i="20" s="1"/>
  <c r="B395" i="20" s="1"/>
  <c r="B396" i="20" s="1"/>
  <c r="B397" i="20" s="1"/>
  <c r="B398" i="20" s="1"/>
  <c r="B399" i="20" s="1"/>
  <c r="B400" i="20" s="1"/>
  <c r="B401" i="20" s="1"/>
  <c r="B406" i="20"/>
  <c r="B407" i="20" s="1"/>
  <c r="B408" i="20" s="1"/>
  <c r="B409" i="20" s="1"/>
  <c r="B410" i="20" s="1"/>
  <c r="B411" i="20" s="1"/>
  <c r="B412" i="20" s="1"/>
  <c r="B413" i="20" s="1"/>
  <c r="B414" i="20" s="1"/>
  <c r="B415" i="20" s="1"/>
  <c r="B416" i="20" s="1"/>
  <c r="B417" i="20" s="1"/>
  <c r="B418" i="20" s="1"/>
  <c r="B419" i="20" s="1"/>
  <c r="B423" i="20"/>
  <c r="B424" i="20" s="1"/>
  <c r="B425" i="20" s="1"/>
  <c r="B426" i="20" s="1"/>
  <c r="B427" i="20" s="1"/>
  <c r="B429" i="20"/>
  <c r="B430" i="20" s="1"/>
  <c r="B431" i="20" s="1"/>
  <c r="B432" i="20" s="1"/>
  <c r="B433" i="20" s="1"/>
  <c r="B436" i="20"/>
  <c r="B437" i="20" s="1"/>
  <c r="B438" i="20" s="1"/>
  <c r="B439" i="20" s="1"/>
  <c r="B440" i="20" s="1"/>
  <c r="B441" i="20" s="1"/>
  <c r="B442" i="20" s="1"/>
  <c r="B443" i="20" s="1"/>
  <c r="B444" i="20" s="1"/>
  <c r="B445" i="20" s="1"/>
  <c r="B446" i="20" s="1"/>
  <c r="B447" i="20" s="1"/>
  <c r="B448" i="20" s="1"/>
  <c r="B449" i="20" s="1"/>
  <c r="B450" i="20" s="1"/>
  <c r="B452" i="20"/>
  <c r="B453" i="20" s="1"/>
  <c r="B454" i="20" s="1"/>
  <c r="B455" i="20" s="1"/>
  <c r="B456" i="20" s="1"/>
  <c r="B457" i="20" s="1"/>
  <c r="B459" i="20"/>
  <c r="B460" i="20" s="1"/>
  <c r="B461" i="20" s="1"/>
  <c r="B465" i="20"/>
  <c r="B466" i="20" s="1"/>
  <c r="B467" i="20" s="1"/>
  <c r="B468" i="20" s="1"/>
  <c r="B469" i="20" s="1"/>
  <c r="B470" i="20" s="1"/>
  <c r="B471" i="20" s="1"/>
  <c r="B472" i="20" s="1"/>
  <c r="B473" i="20" s="1"/>
  <c r="C86" i="13" l="1"/>
  <c r="F144" i="20"/>
  <c r="D90" i="20"/>
  <c r="C88" i="20"/>
  <c r="B82" i="20"/>
  <c r="D98" i="20"/>
  <c r="C97" i="20"/>
  <c r="C95" i="20"/>
  <c r="C93" i="20"/>
  <c r="E91" i="20"/>
  <c r="B90" i="20"/>
  <c r="E83" i="20"/>
  <c r="D79" i="20"/>
  <c r="C98" i="20"/>
  <c r="D92" i="20"/>
  <c r="B91" i="20"/>
  <c r="B89" i="20"/>
  <c r="B87" i="20"/>
  <c r="E85" i="20"/>
  <c r="C83" i="20"/>
  <c r="E81" i="20"/>
  <c r="B79" i="20"/>
  <c r="B96" i="20"/>
  <c r="B94" i="20"/>
  <c r="B92" i="20"/>
  <c r="C86" i="20"/>
  <c r="B98" i="20"/>
  <c r="B97" i="20"/>
  <c r="C96" i="20"/>
  <c r="B95" i="20"/>
  <c r="C94" i="20"/>
  <c r="B93" i="20"/>
  <c r="C92" i="20"/>
  <c r="C91" i="20"/>
  <c r="C90" i="20"/>
  <c r="C89" i="20"/>
  <c r="B88" i="20"/>
  <c r="C87" i="20"/>
  <c r="B86" i="20"/>
  <c r="C85" i="20"/>
  <c r="B84" i="20"/>
  <c r="B81" i="20"/>
  <c r="B80" i="20"/>
  <c r="C78" i="20"/>
  <c r="C77" i="20"/>
  <c r="B80" i="13"/>
  <c r="D97" i="20"/>
  <c r="E96" i="20"/>
  <c r="D95" i="20"/>
  <c r="E94" i="20"/>
  <c r="D93" i="20"/>
  <c r="D89" i="20"/>
  <c r="E88" i="20"/>
  <c r="D87" i="20"/>
  <c r="E86" i="20"/>
  <c r="D84" i="20"/>
  <c r="D82" i="20"/>
  <c r="E80" i="20"/>
  <c r="C237" i="7"/>
  <c r="D237" i="7" s="1"/>
  <c r="E101" i="20"/>
  <c r="E98" i="20"/>
  <c r="E97" i="20"/>
  <c r="D96" i="20"/>
  <c r="E95" i="20"/>
  <c r="AI31" i="20"/>
  <c r="AJ31" i="20" s="1"/>
  <c r="D94" i="20"/>
  <c r="E93" i="20"/>
  <c r="E92" i="20"/>
  <c r="D91" i="20"/>
  <c r="E90" i="20"/>
  <c r="E89" i="20"/>
  <c r="D88" i="20"/>
  <c r="E87" i="20"/>
  <c r="D86" i="20"/>
  <c r="D85" i="20"/>
  <c r="B85" i="20"/>
  <c r="E84" i="20"/>
  <c r="C84" i="20"/>
  <c r="D83" i="20"/>
  <c r="B83" i="20"/>
  <c r="E82" i="20"/>
  <c r="C82" i="20"/>
  <c r="C81" i="20"/>
  <c r="C80" i="20"/>
  <c r="C79" i="20"/>
  <c r="E78" i="20"/>
  <c r="B78" i="20"/>
  <c r="E77" i="20"/>
  <c r="B77" i="20"/>
  <c r="E76" i="20"/>
  <c r="C76" i="20"/>
  <c r="AI34" i="20"/>
  <c r="AJ34" i="20" s="1"/>
  <c r="AI32" i="20"/>
  <c r="AJ32" i="20" s="1"/>
  <c r="K87" i="20"/>
  <c r="K86" i="20"/>
  <c r="AI24" i="20"/>
  <c r="AJ24" i="20" s="1"/>
  <c r="AI26" i="20"/>
  <c r="AJ26" i="20" s="1"/>
  <c r="AI41" i="20"/>
  <c r="AJ41" i="20" s="1"/>
  <c r="AI38" i="20"/>
  <c r="AJ38" i="20" s="1"/>
  <c r="AI43" i="20"/>
  <c r="AJ43" i="20" s="1"/>
  <c r="AI42" i="20"/>
  <c r="AJ42" i="20" s="1"/>
  <c r="H14" i="20"/>
  <c r="H15" i="20"/>
  <c r="H24" i="20"/>
  <c r="J24" i="20" s="1"/>
  <c r="K24" i="20" s="1"/>
  <c r="H28" i="20"/>
  <c r="J28" i="20" s="1"/>
  <c r="K28" i="20" s="1"/>
  <c r="H36" i="20"/>
  <c r="J36" i="20" s="1"/>
  <c r="K36" i="20" s="1"/>
  <c r="N34" i="20" s="1"/>
  <c r="R26" i="20" s="1"/>
  <c r="H43" i="20"/>
  <c r="J43" i="20" s="1"/>
  <c r="K43" i="20" s="1"/>
  <c r="N44" i="20" s="1"/>
  <c r="H44" i="20"/>
  <c r="J44" i="20" s="1"/>
  <c r="K44" i="20" s="1"/>
  <c r="H47" i="20"/>
  <c r="H48" i="20"/>
  <c r="J48" i="20" s="1"/>
  <c r="H51" i="20"/>
  <c r="J51" i="20" s="1"/>
  <c r="H52" i="20"/>
  <c r="J52" i="20" s="1"/>
  <c r="H54" i="20"/>
  <c r="J54" i="20" s="1"/>
  <c r="H55" i="20"/>
  <c r="J55" i="20" s="1"/>
  <c r="H62" i="20"/>
  <c r="H64" i="20"/>
  <c r="H66" i="20"/>
  <c r="H13" i="20"/>
  <c r="H16" i="20"/>
  <c r="J16" i="20" s="1"/>
  <c r="H17" i="20"/>
  <c r="H18" i="20"/>
  <c r="J18" i="20" s="1"/>
  <c r="H19" i="20"/>
  <c r="J19" i="20" s="1"/>
  <c r="K19" i="20" s="1"/>
  <c r="H20" i="20"/>
  <c r="J20" i="20" s="1"/>
  <c r="K20" i="20" s="1"/>
  <c r="H21" i="20"/>
  <c r="H22" i="20"/>
  <c r="J22" i="20" s="1"/>
  <c r="K22" i="20" s="1"/>
  <c r="H23" i="20"/>
  <c r="H25" i="20"/>
  <c r="J25" i="20" s="1"/>
  <c r="K25" i="20" s="1"/>
  <c r="N28" i="20" s="1"/>
  <c r="H26" i="20"/>
  <c r="H27" i="20"/>
  <c r="H29" i="20"/>
  <c r="H30" i="20"/>
  <c r="J30" i="20" s="1"/>
  <c r="K30" i="20" s="1"/>
  <c r="H31" i="20"/>
  <c r="J31" i="20" s="1"/>
  <c r="K31" i="20" s="1"/>
  <c r="H32" i="20"/>
  <c r="J32" i="20" s="1"/>
  <c r="H33" i="20"/>
  <c r="J33" i="20" s="1"/>
  <c r="H34" i="20"/>
  <c r="J34" i="20" s="1"/>
  <c r="H35" i="20"/>
  <c r="J35" i="20" s="1"/>
  <c r="K35" i="20" s="1"/>
  <c r="N33" i="20" s="1"/>
  <c r="H37" i="20"/>
  <c r="J37" i="20" s="1"/>
  <c r="K37" i="20" s="1"/>
  <c r="H38" i="20"/>
  <c r="J38" i="20" s="1"/>
  <c r="K38" i="20" s="1"/>
  <c r="N38" i="20" s="1"/>
  <c r="H39" i="20"/>
  <c r="J39" i="20" s="1"/>
  <c r="H40" i="20"/>
  <c r="J40" i="20" s="1"/>
  <c r="K40" i="20" s="1"/>
  <c r="N40" i="20" s="1"/>
  <c r="R125" i="20" s="1"/>
  <c r="H41" i="20"/>
  <c r="J41" i="20" s="1"/>
  <c r="K41" i="20" s="1"/>
  <c r="N41" i="20" s="1"/>
  <c r="R119" i="20" s="1"/>
  <c r="H42" i="20"/>
  <c r="J42" i="20" s="1"/>
  <c r="K42" i="20" s="1"/>
  <c r="N42" i="20" s="1"/>
  <c r="H45" i="20"/>
  <c r="J45" i="20" s="1"/>
  <c r="K45" i="20" s="1"/>
  <c r="H49" i="20"/>
  <c r="J49" i="20" s="1"/>
  <c r="H50" i="20"/>
  <c r="J50" i="20" s="1"/>
  <c r="H53" i="20"/>
  <c r="H56" i="20"/>
  <c r="J56" i="20" s="1"/>
  <c r="H57" i="20"/>
  <c r="H58" i="20"/>
  <c r="H59" i="20"/>
  <c r="H60" i="20"/>
  <c r="H61" i="20"/>
  <c r="H63" i="20"/>
  <c r="J63" i="20" s="1"/>
  <c r="H65" i="20"/>
  <c r="J65" i="20" s="1"/>
  <c r="H67" i="20"/>
  <c r="AI35" i="20"/>
  <c r="AJ35" i="20" s="1"/>
  <c r="D81" i="20"/>
  <c r="D80" i="20"/>
  <c r="E79" i="20"/>
  <c r="D78" i="20"/>
  <c r="D77" i="20"/>
  <c r="C13" i="20"/>
  <c r="E255" i="20" l="1"/>
  <c r="C311" i="20"/>
  <c r="E327" i="20"/>
  <c r="C315" i="20"/>
  <c r="E132" i="20"/>
  <c r="K92" i="20"/>
  <c r="D327" i="20"/>
  <c r="D278" i="20"/>
  <c r="E288" i="20"/>
  <c r="E278" i="20"/>
  <c r="C264" i="20"/>
  <c r="C243" i="20"/>
  <c r="D249" i="20"/>
  <c r="C347" i="20"/>
  <c r="D308" i="20"/>
  <c r="E301" i="20"/>
  <c r="C323" i="20"/>
  <c r="C272" i="20"/>
  <c r="C344" i="20"/>
  <c r="D319" i="20"/>
  <c r="E284" i="20"/>
  <c r="E237" i="20"/>
  <c r="D127" i="20"/>
  <c r="E341" i="20"/>
  <c r="D300" i="20"/>
  <c r="D270" i="20"/>
  <c r="E238" i="20"/>
  <c r="E262" i="20"/>
  <c r="C280" i="20"/>
  <c r="E338" i="20"/>
  <c r="D297" i="20"/>
  <c r="E254" i="20"/>
  <c r="C149" i="20"/>
  <c r="C122" i="20"/>
  <c r="D336" i="20"/>
  <c r="D294" i="20"/>
  <c r="D262" i="20"/>
  <c r="E309" i="20"/>
  <c r="E270" i="20"/>
  <c r="E319" i="20"/>
  <c r="C303" i="20"/>
  <c r="D333" i="20"/>
  <c r="E292" i="20"/>
  <c r="D248" i="20"/>
  <c r="D140" i="20"/>
  <c r="E116" i="20"/>
  <c r="C331" i="20"/>
  <c r="D286" i="20"/>
  <c r="C244" i="20"/>
  <c r="H186" i="20"/>
  <c r="E268" i="20"/>
  <c r="E150" i="20"/>
  <c r="C143" i="20"/>
  <c r="E264" i="20"/>
  <c r="E280" i="20"/>
  <c r="E311" i="20"/>
  <c r="C325" i="20"/>
  <c r="C266" i="20"/>
  <c r="C282" i="20"/>
  <c r="C348" i="20"/>
  <c r="D337" i="20"/>
  <c r="D325" i="20"/>
  <c r="C296" i="20"/>
  <c r="E287" i="20"/>
  <c r="D253" i="20"/>
  <c r="E241" i="20"/>
  <c r="C139" i="20"/>
  <c r="C126" i="20"/>
  <c r="D115" i="20"/>
  <c r="D340" i="20"/>
  <c r="E329" i="20"/>
  <c r="D298" i="20"/>
  <c r="D284" i="20"/>
  <c r="D268" i="20"/>
  <c r="D254" i="20"/>
  <c r="E242" i="20"/>
  <c r="D237" i="20"/>
  <c r="C141" i="20"/>
  <c r="C115" i="20"/>
  <c r="E258" i="20"/>
  <c r="E266" i="20"/>
  <c r="E274" i="20"/>
  <c r="E282" i="20"/>
  <c r="E305" i="20"/>
  <c r="E315" i="20"/>
  <c r="E323" i="20"/>
  <c r="C319" i="20"/>
  <c r="C327" i="20"/>
  <c r="C260" i="20"/>
  <c r="C268" i="20"/>
  <c r="C276" i="20"/>
  <c r="C299" i="20"/>
  <c r="C307" i="20"/>
  <c r="E346" i="20"/>
  <c r="D341" i="20"/>
  <c r="C336" i="20"/>
  <c r="E330" i="20"/>
  <c r="D323" i="20"/>
  <c r="D315" i="20"/>
  <c r="E294" i="20"/>
  <c r="E290" i="20"/>
  <c r="E286" i="20"/>
  <c r="D257" i="20"/>
  <c r="C251" i="20"/>
  <c r="E245" i="20"/>
  <c r="D240" i="20"/>
  <c r="E151" i="20"/>
  <c r="D144" i="20"/>
  <c r="D137" i="20"/>
  <c r="C130" i="20"/>
  <c r="E124" i="20"/>
  <c r="D119" i="20"/>
  <c r="E349" i="20"/>
  <c r="D344" i="20"/>
  <c r="C339" i="20"/>
  <c r="E333" i="20"/>
  <c r="D313" i="20"/>
  <c r="D304" i="20"/>
  <c r="C297" i="20"/>
  <c r="D290" i="20"/>
  <c r="D282" i="20"/>
  <c r="D274" i="20"/>
  <c r="D266" i="20"/>
  <c r="D258" i="20"/>
  <c r="C253" i="20"/>
  <c r="E246" i="20"/>
  <c r="D241" i="20"/>
  <c r="G186" i="20"/>
  <c r="C148" i="20"/>
  <c r="E136" i="20"/>
  <c r="E272" i="20"/>
  <c r="E303" i="20"/>
  <c r="E321" i="20"/>
  <c r="C317" i="20"/>
  <c r="C258" i="20"/>
  <c r="C274" i="20"/>
  <c r="C305" i="20"/>
  <c r="E342" i="20"/>
  <c r="C332" i="20"/>
  <c r="D317" i="20"/>
  <c r="E291" i="20"/>
  <c r="E283" i="20"/>
  <c r="C247" i="20"/>
  <c r="D146" i="20"/>
  <c r="F128" i="20" s="1"/>
  <c r="D131" i="20"/>
  <c r="F122" i="20" s="1"/>
  <c r="E120" i="20"/>
  <c r="E345" i="20"/>
  <c r="C335" i="20"/>
  <c r="D306" i="20"/>
  <c r="D292" i="20"/>
  <c r="D276" i="20"/>
  <c r="D260" i="20"/>
  <c r="C248" i="20"/>
  <c r="D149" i="20"/>
  <c r="F126" i="20" s="1"/>
  <c r="E260" i="20"/>
  <c r="E276" i="20"/>
  <c r="E299" i="20"/>
  <c r="E307" i="20"/>
  <c r="E317" i="20"/>
  <c r="E325" i="20"/>
  <c r="C321" i="20"/>
  <c r="C262" i="20"/>
  <c r="C270" i="20"/>
  <c r="C278" i="20"/>
  <c r="C301" i="20"/>
  <c r="C309" i="20"/>
  <c r="D345" i="20"/>
  <c r="C340" i="20"/>
  <c r="E334" i="20"/>
  <c r="D329" i="20"/>
  <c r="D321" i="20"/>
  <c r="E313" i="20"/>
  <c r="E293" i="20"/>
  <c r="E289" i="20"/>
  <c r="E285" i="20"/>
  <c r="C256" i="20"/>
  <c r="E249" i="20"/>
  <c r="D244" i="20"/>
  <c r="C239" i="20"/>
  <c r="D150" i="20"/>
  <c r="F130" i="20" s="1"/>
  <c r="D142" i="20"/>
  <c r="D135" i="20"/>
  <c r="E128" i="20"/>
  <c r="D123" i="20"/>
  <c r="C118" i="20"/>
  <c r="D348" i="20"/>
  <c r="C343" i="20"/>
  <c r="E337" i="20"/>
  <c r="D332" i="20"/>
  <c r="D310" i="20"/>
  <c r="D302" i="20"/>
  <c r="E295" i="20"/>
  <c r="D288" i="20"/>
  <c r="D280" i="20"/>
  <c r="D272" i="20"/>
  <c r="D264" i="20"/>
  <c r="C257" i="20"/>
  <c r="E250" i="20"/>
  <c r="D245" i="20"/>
  <c r="C240" i="20"/>
  <c r="C152" i="20"/>
  <c r="C145" i="20"/>
  <c r="I186" i="20"/>
  <c r="E138" i="20"/>
  <c r="C127" i="20"/>
  <c r="C146" i="20"/>
  <c r="C144" i="20"/>
  <c r="C142" i="20"/>
  <c r="C140" i="20"/>
  <c r="E137" i="20"/>
  <c r="D132" i="20"/>
  <c r="E121" i="20"/>
  <c r="E135" i="20"/>
  <c r="E129" i="20"/>
  <c r="D124" i="20"/>
  <c r="C119" i="20"/>
  <c r="E134" i="20"/>
  <c r="C131" i="20"/>
  <c r="D128" i="20"/>
  <c r="F119" i="20" s="1"/>
  <c r="E125" i="20"/>
  <c r="C123" i="20"/>
  <c r="D120" i="20"/>
  <c r="E117" i="20"/>
  <c r="K88" i="20"/>
  <c r="D116" i="20"/>
  <c r="K91" i="20"/>
  <c r="E259" i="20"/>
  <c r="E261" i="20"/>
  <c r="E263" i="20"/>
  <c r="E265" i="20"/>
  <c r="E267" i="20"/>
  <c r="E269" i="20"/>
  <c r="E271" i="20"/>
  <c r="E273" i="20"/>
  <c r="E275" i="20"/>
  <c r="E277" i="20"/>
  <c r="E279" i="20"/>
  <c r="E281" i="20"/>
  <c r="E298" i="20"/>
  <c r="E300" i="20"/>
  <c r="E302" i="20"/>
  <c r="E304" i="20"/>
  <c r="E306" i="20"/>
  <c r="E308" i="20"/>
  <c r="E310" i="20"/>
  <c r="E314" i="20"/>
  <c r="E316" i="20"/>
  <c r="E318" i="20"/>
  <c r="E320" i="20"/>
  <c r="E322" i="20"/>
  <c r="E324" i="20"/>
  <c r="E326" i="20"/>
  <c r="E328" i="20"/>
  <c r="C314" i="20"/>
  <c r="C316" i="20"/>
  <c r="C318" i="20"/>
  <c r="C320" i="20"/>
  <c r="C322" i="20"/>
  <c r="C324" i="20"/>
  <c r="C326" i="20"/>
  <c r="C328" i="20"/>
  <c r="C259" i="20"/>
  <c r="C261" i="20"/>
  <c r="C263" i="20"/>
  <c r="C265" i="20"/>
  <c r="C267" i="20"/>
  <c r="C269" i="20"/>
  <c r="C271" i="20"/>
  <c r="C273" i="20"/>
  <c r="C275" i="20"/>
  <c r="C277" i="20"/>
  <c r="C279" i="20"/>
  <c r="C281" i="20"/>
  <c r="C298" i="20"/>
  <c r="C300" i="20"/>
  <c r="C302" i="20"/>
  <c r="C304" i="20"/>
  <c r="C306" i="20"/>
  <c r="C308" i="20"/>
  <c r="C310" i="20"/>
  <c r="E348" i="20"/>
  <c r="D347" i="20"/>
  <c r="C346" i="20"/>
  <c r="E344" i="20"/>
  <c r="D343" i="20"/>
  <c r="C342" i="20"/>
  <c r="E340" i="20"/>
  <c r="D339" i="20"/>
  <c r="C338" i="20"/>
  <c r="E336" i="20"/>
  <c r="D335" i="20"/>
  <c r="C334" i="20"/>
  <c r="E332" i="20"/>
  <c r="D331" i="20"/>
  <c r="C330" i="20"/>
  <c r="D328" i="20"/>
  <c r="D326" i="20"/>
  <c r="D324" i="20"/>
  <c r="D322" i="20"/>
  <c r="D320" i="20"/>
  <c r="D318" i="20"/>
  <c r="D316" i="20"/>
  <c r="D314" i="20"/>
  <c r="C313" i="20"/>
  <c r="E296" i="20"/>
  <c r="D295" i="20"/>
  <c r="C294" i="20"/>
  <c r="C293" i="20"/>
  <c r="C292" i="20"/>
  <c r="C291" i="20"/>
  <c r="C290" i="20"/>
  <c r="C289" i="20"/>
  <c r="C288" i="20"/>
  <c r="C287" i="20"/>
  <c r="C286" i="20"/>
  <c r="C285" i="20"/>
  <c r="C284" i="20"/>
  <c r="C283" i="20"/>
  <c r="E256" i="20"/>
  <c r="D255" i="20"/>
  <c r="C254" i="20"/>
  <c r="E251" i="20"/>
  <c r="D250" i="20"/>
  <c r="C249" i="20"/>
  <c r="E247" i="20"/>
  <c r="D246" i="20"/>
  <c r="C245" i="20"/>
  <c r="E243" i="20"/>
  <c r="D242" i="20"/>
  <c r="C241" i="20"/>
  <c r="E239" i="20"/>
  <c r="D238" i="20"/>
  <c r="C237" i="20"/>
  <c r="D152" i="20"/>
  <c r="F139" i="20" s="1"/>
  <c r="C151" i="20"/>
  <c r="E149" i="20"/>
  <c r="D148" i="20"/>
  <c r="D145" i="20"/>
  <c r="D143" i="20"/>
  <c r="D141" i="20"/>
  <c r="E139" i="20"/>
  <c r="D138" i="20"/>
  <c r="D136" i="20"/>
  <c r="D134" i="20"/>
  <c r="C132" i="20"/>
  <c r="E130" i="20"/>
  <c r="D129" i="20"/>
  <c r="C128" i="20"/>
  <c r="E126" i="20"/>
  <c r="D125" i="20"/>
  <c r="C124" i="20"/>
  <c r="E122" i="20"/>
  <c r="D121" i="20"/>
  <c r="C120" i="20"/>
  <c r="E118" i="20"/>
  <c r="D117" i="20"/>
  <c r="C116" i="20"/>
  <c r="D349" i="20"/>
  <c r="C349" i="20"/>
  <c r="E347" i="20"/>
  <c r="D346" i="20"/>
  <c r="C345" i="20"/>
  <c r="E343" i="20"/>
  <c r="D342" i="20"/>
  <c r="C341" i="20"/>
  <c r="E339" i="20"/>
  <c r="D338" i="20"/>
  <c r="C337" i="20"/>
  <c r="E335" i="20"/>
  <c r="D334" i="20"/>
  <c r="C333" i="20"/>
  <c r="E331" i="20"/>
  <c r="D330" i="20"/>
  <c r="C329" i="20"/>
  <c r="D311" i="20"/>
  <c r="D309" i="20"/>
  <c r="D307" i="20"/>
  <c r="D305" i="20"/>
  <c r="D303" i="20"/>
  <c r="D301" i="20"/>
  <c r="D299" i="20"/>
  <c r="E297" i="20"/>
  <c r="D296" i="20"/>
  <c r="C295" i="20"/>
  <c r="D293" i="20"/>
  <c r="D291" i="20"/>
  <c r="D289" i="20"/>
  <c r="D287" i="20"/>
  <c r="D285" i="20"/>
  <c r="D283" i="20"/>
  <c r="D281" i="20"/>
  <c r="D279" i="20"/>
  <c r="D277" i="20"/>
  <c r="D275" i="20"/>
  <c r="D273" i="20"/>
  <c r="D271" i="20"/>
  <c r="D269" i="20"/>
  <c r="D267" i="20"/>
  <c r="D265" i="20"/>
  <c r="D263" i="20"/>
  <c r="D261" i="20"/>
  <c r="D259" i="20"/>
  <c r="E257" i="20"/>
  <c r="D256" i="20"/>
  <c r="C255" i="20"/>
  <c r="E253" i="20"/>
  <c r="D251" i="20"/>
  <c r="C250" i="20"/>
  <c r="E248" i="20"/>
  <c r="D247" i="20"/>
  <c r="C246" i="20"/>
  <c r="E244" i="20"/>
  <c r="D243" i="20"/>
  <c r="C242" i="20"/>
  <c r="E240" i="20"/>
  <c r="D239" i="20"/>
  <c r="C238" i="20"/>
  <c r="E152" i="20"/>
  <c r="D151" i="20"/>
  <c r="F138" i="20" s="1"/>
  <c r="C150" i="20"/>
  <c r="E148" i="20"/>
  <c r="E146" i="20"/>
  <c r="E145" i="20"/>
  <c r="E144" i="20"/>
  <c r="E143" i="20"/>
  <c r="E142" i="20"/>
  <c r="E141" i="20"/>
  <c r="E140" i="20"/>
  <c r="D139" i="20"/>
  <c r="C138" i="20"/>
  <c r="C137" i="20"/>
  <c r="C136" i="20"/>
  <c r="C135" i="20"/>
  <c r="C134" i="20"/>
  <c r="E131" i="20"/>
  <c r="D130" i="20"/>
  <c r="C129" i="20"/>
  <c r="E127" i="20"/>
  <c r="D126" i="20"/>
  <c r="F116" i="20" s="1"/>
  <c r="C125" i="20"/>
  <c r="E123" i="20"/>
  <c r="D122" i="20"/>
  <c r="C121" i="20"/>
  <c r="E119" i="20"/>
  <c r="D118" i="20"/>
  <c r="C117" i="20"/>
  <c r="E115" i="20"/>
  <c r="C133" i="20"/>
  <c r="E133" i="20"/>
  <c r="D147" i="20"/>
  <c r="D133" i="20"/>
  <c r="C147" i="20"/>
  <c r="E147" i="20"/>
  <c r="J27" i="20"/>
  <c r="K27" i="20" s="1"/>
  <c r="AI28" i="20"/>
  <c r="AJ28" i="20" s="1"/>
  <c r="AI29" i="20"/>
  <c r="AJ29" i="20" s="1"/>
  <c r="AI30" i="20"/>
  <c r="AJ30" i="20" s="1"/>
  <c r="AI27" i="20"/>
  <c r="AJ27" i="20" s="1"/>
  <c r="J6" i="20"/>
  <c r="R31" i="20"/>
  <c r="R116" i="20"/>
  <c r="O4" i="20"/>
  <c r="J9" i="20"/>
  <c r="J5" i="20"/>
  <c r="N43" i="20"/>
  <c r="R34" i="20" s="1"/>
  <c r="J59" i="20"/>
  <c r="K59" i="20" s="1"/>
  <c r="N54" i="20" s="1"/>
  <c r="J53" i="20"/>
  <c r="J26" i="20"/>
  <c r="K26" i="20" s="1"/>
  <c r="J23" i="20"/>
  <c r="J21" i="20"/>
  <c r="J17" i="20"/>
  <c r="J64" i="20"/>
  <c r="O5" i="20"/>
  <c r="J7" i="20"/>
  <c r="N37" i="20"/>
  <c r="R99" i="20"/>
  <c r="R100" i="20"/>
  <c r="R98" i="20"/>
  <c r="R101" i="20"/>
  <c r="J11" i="20"/>
  <c r="J8" i="20"/>
  <c r="J67" i="20"/>
  <c r="K67" i="20" s="1"/>
  <c r="J60" i="20"/>
  <c r="J66" i="20"/>
  <c r="J62" i="20"/>
  <c r="J47" i="20"/>
  <c r="J15" i="20"/>
  <c r="B220" i="7"/>
  <c r="C220" i="7"/>
  <c r="D220" i="7"/>
  <c r="E220" i="7"/>
  <c r="F220" i="7"/>
  <c r="G220" i="7"/>
  <c r="H220" i="7"/>
  <c r="I220" i="7"/>
  <c r="B221" i="7"/>
  <c r="C221" i="7"/>
  <c r="D221" i="7"/>
  <c r="E221" i="7"/>
  <c r="F221" i="7"/>
  <c r="G221" i="7"/>
  <c r="H221" i="7"/>
  <c r="I221" i="7"/>
  <c r="B189" i="7"/>
  <c r="C189" i="7"/>
  <c r="D189" i="7"/>
  <c r="E189" i="7"/>
  <c r="F189" i="7"/>
  <c r="G189" i="7"/>
  <c r="H189" i="7"/>
  <c r="I189" i="7"/>
  <c r="B190" i="7"/>
  <c r="C190" i="7"/>
  <c r="B191" i="7"/>
  <c r="C191" i="7"/>
  <c r="D191" i="7"/>
  <c r="E191" i="7"/>
  <c r="F191" i="7"/>
  <c r="G191" i="7"/>
  <c r="H191" i="7"/>
  <c r="I191" i="7"/>
  <c r="D192" i="7"/>
  <c r="E192" i="7"/>
  <c r="F192" i="7"/>
  <c r="G192" i="7"/>
  <c r="H192" i="7"/>
  <c r="I192" i="7"/>
  <c r="B193" i="7"/>
  <c r="C193" i="7"/>
  <c r="D193" i="7"/>
  <c r="E193" i="7"/>
  <c r="F193" i="7"/>
  <c r="G193" i="7"/>
  <c r="H193" i="7"/>
  <c r="I193" i="7"/>
  <c r="B194" i="7"/>
  <c r="C194" i="7"/>
  <c r="D194" i="7"/>
  <c r="E194" i="7"/>
  <c r="F194" i="7"/>
  <c r="G194" i="7"/>
  <c r="H194" i="7"/>
  <c r="I194" i="7"/>
  <c r="B195" i="7"/>
  <c r="C195" i="7"/>
  <c r="D195" i="7"/>
  <c r="E195" i="7"/>
  <c r="F195" i="7"/>
  <c r="G195" i="7"/>
  <c r="H195" i="7"/>
  <c r="I195" i="7"/>
  <c r="B196" i="7"/>
  <c r="C196" i="7"/>
  <c r="D196" i="7"/>
  <c r="E196" i="7"/>
  <c r="F196" i="7"/>
  <c r="G196" i="7"/>
  <c r="H196" i="7"/>
  <c r="I196" i="7"/>
  <c r="D197" i="7"/>
  <c r="E197" i="7"/>
  <c r="F197" i="7"/>
  <c r="G197" i="7"/>
  <c r="H197" i="7"/>
  <c r="I197" i="7"/>
  <c r="D198" i="7"/>
  <c r="E198" i="7"/>
  <c r="F198" i="7"/>
  <c r="G198" i="7"/>
  <c r="H198" i="7"/>
  <c r="I198" i="7"/>
  <c r="D199" i="7"/>
  <c r="E199" i="7"/>
  <c r="F199" i="7"/>
  <c r="G199" i="7"/>
  <c r="H199" i="7"/>
  <c r="I199" i="7"/>
  <c r="D200" i="7"/>
  <c r="E200" i="7"/>
  <c r="F200" i="7"/>
  <c r="G200" i="7"/>
  <c r="H200" i="7"/>
  <c r="I200" i="7"/>
  <c r="B201" i="7"/>
  <c r="C201" i="7"/>
  <c r="D201" i="7"/>
  <c r="E201" i="7"/>
  <c r="F201" i="7"/>
  <c r="G201" i="7"/>
  <c r="H201" i="7"/>
  <c r="I201" i="7"/>
  <c r="D202" i="7"/>
  <c r="E202" i="7"/>
  <c r="F202" i="7"/>
  <c r="G202" i="7"/>
  <c r="H202" i="7"/>
  <c r="I202" i="7"/>
  <c r="D203" i="7"/>
  <c r="E203" i="7"/>
  <c r="F203" i="7"/>
  <c r="G203" i="7"/>
  <c r="H203" i="7"/>
  <c r="I203" i="7"/>
  <c r="D204" i="7"/>
  <c r="E204" i="7"/>
  <c r="F204" i="7"/>
  <c r="G204" i="7"/>
  <c r="H204" i="7"/>
  <c r="I204" i="7"/>
  <c r="B205" i="7"/>
  <c r="C205" i="7"/>
  <c r="D205" i="7"/>
  <c r="E205" i="7"/>
  <c r="F205" i="7"/>
  <c r="G205" i="7"/>
  <c r="H205" i="7"/>
  <c r="I205" i="7"/>
  <c r="B206" i="7"/>
  <c r="C206" i="7"/>
  <c r="D206" i="7"/>
  <c r="E206" i="7"/>
  <c r="F206" i="7"/>
  <c r="G206" i="7"/>
  <c r="H206" i="7"/>
  <c r="I206" i="7"/>
  <c r="B207" i="7"/>
  <c r="C207" i="7"/>
  <c r="D207" i="7"/>
  <c r="E207" i="7"/>
  <c r="F207" i="7"/>
  <c r="G207" i="7"/>
  <c r="H207" i="7"/>
  <c r="I207" i="7"/>
  <c r="B208" i="7"/>
  <c r="C208" i="7"/>
  <c r="D208" i="7"/>
  <c r="E208" i="7"/>
  <c r="F208" i="7"/>
  <c r="G208" i="7"/>
  <c r="H208" i="7"/>
  <c r="I208" i="7"/>
  <c r="B209" i="7"/>
  <c r="C209" i="7"/>
  <c r="D209" i="7"/>
  <c r="E209" i="7"/>
  <c r="F209" i="7"/>
  <c r="G209" i="7"/>
  <c r="H209" i="7"/>
  <c r="I209" i="7"/>
  <c r="B210" i="7"/>
  <c r="C210" i="7"/>
  <c r="D210" i="7"/>
  <c r="E210" i="7"/>
  <c r="F210" i="7"/>
  <c r="G210" i="7"/>
  <c r="H210" i="7"/>
  <c r="I210" i="7"/>
  <c r="B211" i="7"/>
  <c r="C211" i="7"/>
  <c r="D211" i="7"/>
  <c r="E211" i="7"/>
  <c r="F211" i="7"/>
  <c r="G211" i="7"/>
  <c r="H211" i="7"/>
  <c r="I211" i="7"/>
  <c r="B212" i="7"/>
  <c r="C212" i="7"/>
  <c r="D212" i="7"/>
  <c r="E212" i="7"/>
  <c r="F212" i="7"/>
  <c r="G212" i="7"/>
  <c r="H212" i="7"/>
  <c r="I212" i="7"/>
  <c r="B213" i="7"/>
  <c r="C213" i="7"/>
  <c r="D213" i="7"/>
  <c r="E213" i="7"/>
  <c r="F213" i="7"/>
  <c r="G213" i="7"/>
  <c r="H213" i="7"/>
  <c r="I213" i="7"/>
  <c r="D214" i="7"/>
  <c r="E214" i="7"/>
  <c r="F214" i="7"/>
  <c r="G214" i="7"/>
  <c r="H214" i="7"/>
  <c r="I214" i="7"/>
  <c r="A215"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B133" i="7"/>
  <c r="C133" i="7"/>
  <c r="D133" i="7"/>
  <c r="E133" i="7"/>
  <c r="F133" i="7"/>
  <c r="G133" i="7"/>
  <c r="H133" i="7"/>
  <c r="I133" i="7"/>
  <c r="B134" i="7"/>
  <c r="C134" i="7"/>
  <c r="D134" i="7"/>
  <c r="E134" i="7"/>
  <c r="F134" i="7"/>
  <c r="G134" i="7"/>
  <c r="H134" i="7"/>
  <c r="I134" i="7"/>
  <c r="B135" i="7"/>
  <c r="C135" i="7"/>
  <c r="D135" i="7"/>
  <c r="E135" i="7"/>
  <c r="F135" i="7"/>
  <c r="G135" i="7"/>
  <c r="H135" i="7"/>
  <c r="I135" i="7"/>
  <c r="B136" i="7"/>
  <c r="C136" i="7"/>
  <c r="D136" i="7"/>
  <c r="E136" i="7"/>
  <c r="F136" i="7"/>
  <c r="G136" i="7"/>
  <c r="H136" i="7"/>
  <c r="I136" i="7"/>
  <c r="B137" i="7"/>
  <c r="C137" i="7"/>
  <c r="D137" i="7"/>
  <c r="E137" i="7"/>
  <c r="F137" i="7"/>
  <c r="G137" i="7"/>
  <c r="H137" i="7"/>
  <c r="I137" i="7"/>
  <c r="B138" i="7"/>
  <c r="C138" i="7"/>
  <c r="D138" i="7"/>
  <c r="E138" i="7"/>
  <c r="F138" i="7"/>
  <c r="G138" i="7"/>
  <c r="H138" i="7"/>
  <c r="I138" i="7"/>
  <c r="B139" i="7"/>
  <c r="C139" i="7"/>
  <c r="D139" i="7"/>
  <c r="E139" i="7"/>
  <c r="F139" i="7"/>
  <c r="G139" i="7"/>
  <c r="H139" i="7"/>
  <c r="I139" i="7"/>
  <c r="B140" i="7"/>
  <c r="C140" i="7"/>
  <c r="D140" i="7"/>
  <c r="E140" i="7"/>
  <c r="F140" i="7"/>
  <c r="G140" i="7"/>
  <c r="H140" i="7"/>
  <c r="I140" i="7"/>
  <c r="B141" i="7"/>
  <c r="C141" i="7"/>
  <c r="D141" i="7"/>
  <c r="E141" i="7"/>
  <c r="F141" i="7"/>
  <c r="G141" i="7"/>
  <c r="H141" i="7"/>
  <c r="I141" i="7"/>
  <c r="B142" i="7"/>
  <c r="C142" i="7"/>
  <c r="D142" i="7"/>
  <c r="E142" i="7"/>
  <c r="F142" i="7"/>
  <c r="G142" i="7"/>
  <c r="H142" i="7"/>
  <c r="I142" i="7"/>
  <c r="B143" i="7"/>
  <c r="C143" i="7"/>
  <c r="D143" i="7"/>
  <c r="E143" i="7"/>
  <c r="F143" i="7"/>
  <c r="G143" i="7"/>
  <c r="H143" i="7"/>
  <c r="I143" i="7"/>
  <c r="B144" i="7"/>
  <c r="C144" i="7"/>
  <c r="D144" i="7"/>
  <c r="E144" i="7"/>
  <c r="F144" i="7"/>
  <c r="G144" i="7"/>
  <c r="H144" i="7"/>
  <c r="I144" i="7"/>
  <c r="B146" i="7"/>
  <c r="C146" i="7"/>
  <c r="D146" i="7"/>
  <c r="E146" i="7"/>
  <c r="F146" i="7"/>
  <c r="G146" i="7"/>
  <c r="H146" i="7"/>
  <c r="I146" i="7"/>
  <c r="B147" i="7"/>
  <c r="C147" i="7"/>
  <c r="D147" i="7"/>
  <c r="E147" i="7"/>
  <c r="F147" i="7"/>
  <c r="G147" i="7"/>
  <c r="H147" i="7"/>
  <c r="I147" i="7"/>
  <c r="B148" i="7"/>
  <c r="C148" i="7"/>
  <c r="D148" i="7"/>
  <c r="E148" i="7"/>
  <c r="F148" i="7"/>
  <c r="G148" i="7"/>
  <c r="H148" i="7"/>
  <c r="I148" i="7"/>
  <c r="B149" i="7"/>
  <c r="C149" i="7"/>
  <c r="D149" i="7"/>
  <c r="E149" i="7"/>
  <c r="F149" i="7"/>
  <c r="G149" i="7"/>
  <c r="H149" i="7"/>
  <c r="I149" i="7"/>
  <c r="B150" i="7"/>
  <c r="C150" i="7"/>
  <c r="D150" i="7"/>
  <c r="E150" i="7"/>
  <c r="F150" i="7"/>
  <c r="G150" i="7"/>
  <c r="H150" i="7"/>
  <c r="I150" i="7"/>
  <c r="A133" i="7"/>
  <c r="A134" i="7"/>
  <c r="A135" i="7"/>
  <c r="A136" i="7"/>
  <c r="A137" i="7"/>
  <c r="A138" i="7"/>
  <c r="A139" i="7"/>
  <c r="A140" i="7"/>
  <c r="A141" i="7"/>
  <c r="A142" i="7"/>
  <c r="A143" i="7"/>
  <c r="A144" i="7"/>
  <c r="A146" i="7"/>
  <c r="A147" i="7"/>
  <c r="A148" i="7"/>
  <c r="A149" i="7"/>
  <c r="A150" i="7"/>
  <c r="B100" i="7"/>
  <c r="C100" i="7"/>
  <c r="D100" i="7"/>
  <c r="E100" i="7"/>
  <c r="F100" i="7"/>
  <c r="B101" i="7"/>
  <c r="C101" i="7"/>
  <c r="D101" i="7"/>
  <c r="E101" i="7"/>
  <c r="F101" i="7"/>
  <c r="B102" i="7"/>
  <c r="C102" i="7"/>
  <c r="D102" i="7"/>
  <c r="E102" i="7"/>
  <c r="F102" i="7"/>
  <c r="B103" i="7"/>
  <c r="C103" i="7"/>
  <c r="D103" i="7"/>
  <c r="E103" i="7"/>
  <c r="F103" i="7"/>
  <c r="B104" i="7"/>
  <c r="C104" i="7"/>
  <c r="D104" i="7"/>
  <c r="E104" i="7"/>
  <c r="F104" i="7"/>
  <c r="B105" i="7"/>
  <c r="C105" i="7"/>
  <c r="B106" i="7"/>
  <c r="C106" i="7"/>
  <c r="D106" i="7"/>
  <c r="E106" i="7"/>
  <c r="F106" i="7"/>
  <c r="B107" i="7"/>
  <c r="C107" i="7"/>
  <c r="D107" i="7"/>
  <c r="E107" i="7"/>
  <c r="F107" i="7"/>
  <c r="B108" i="7"/>
  <c r="C108" i="7"/>
  <c r="D108" i="7"/>
  <c r="E108" i="7"/>
  <c r="F108" i="7"/>
  <c r="B109" i="7"/>
  <c r="C109" i="7"/>
  <c r="D109" i="7"/>
  <c r="E109" i="7"/>
  <c r="F109" i="7"/>
  <c r="B110" i="7"/>
  <c r="C110" i="7"/>
  <c r="D110" i="7"/>
  <c r="E110" i="7"/>
  <c r="F110" i="7"/>
  <c r="B112" i="7"/>
  <c r="C112" i="7"/>
  <c r="D112" i="7"/>
  <c r="E112" i="7"/>
  <c r="F112" i="7"/>
  <c r="B113" i="7"/>
  <c r="C113" i="7"/>
  <c r="D113" i="7"/>
  <c r="E113" i="7"/>
  <c r="F113" i="7"/>
  <c r="B114" i="7"/>
  <c r="C114" i="7"/>
  <c r="D114" i="7"/>
  <c r="E114" i="7"/>
  <c r="F114" i="7"/>
  <c r="B115" i="7"/>
  <c r="C115" i="7"/>
  <c r="D115" i="7"/>
  <c r="E115" i="7"/>
  <c r="F115" i="7"/>
  <c r="B117" i="7"/>
  <c r="C117" i="7"/>
  <c r="D117" i="7"/>
  <c r="E117" i="7"/>
  <c r="F117" i="7"/>
  <c r="B118" i="7"/>
  <c r="C118" i="7"/>
  <c r="D118" i="7"/>
  <c r="E118" i="7"/>
  <c r="F118" i="7"/>
  <c r="B119" i="7"/>
  <c r="C119" i="7"/>
  <c r="D119" i="7"/>
  <c r="E119" i="7"/>
  <c r="F119" i="7"/>
  <c r="B120" i="7"/>
  <c r="C120" i="7"/>
  <c r="D120" i="7"/>
  <c r="E120" i="7"/>
  <c r="F120" i="7"/>
  <c r="B121" i="7"/>
  <c r="C121" i="7"/>
  <c r="D121" i="7"/>
  <c r="E121" i="7"/>
  <c r="F121" i="7"/>
  <c r="B122" i="7"/>
  <c r="C122" i="7"/>
  <c r="D122" i="7"/>
  <c r="E122" i="7"/>
  <c r="F122" i="7"/>
  <c r="B123" i="7"/>
  <c r="C123" i="7"/>
  <c r="D123" i="7"/>
  <c r="E123" i="7"/>
  <c r="F123" i="7"/>
  <c r="B124" i="7"/>
  <c r="C124" i="7"/>
  <c r="D124" i="7"/>
  <c r="E124" i="7"/>
  <c r="F124" i="7"/>
  <c r="B125" i="7"/>
  <c r="C125" i="7"/>
  <c r="B126" i="7"/>
  <c r="C126" i="7"/>
  <c r="B127" i="7"/>
  <c r="C127" i="7"/>
  <c r="A111" i="7"/>
  <c r="A112" i="7"/>
  <c r="A100" i="7"/>
  <c r="A116" i="7"/>
  <c r="A117" i="7"/>
  <c r="G86" i="1"/>
  <c r="G85" i="1"/>
  <c r="I190" i="7"/>
  <c r="E190" i="7"/>
  <c r="N115" i="1"/>
  <c r="G190" i="7" s="1"/>
  <c r="AI115" i="1"/>
  <c r="G82" i="1"/>
  <c r="E38" i="12"/>
  <c r="A89" i="7"/>
  <c r="B89" i="7"/>
  <c r="C89" i="7"/>
  <c r="D89" i="7"/>
  <c r="E89" i="7"/>
  <c r="F89" i="7"/>
  <c r="G89" i="7"/>
  <c r="H89" i="7"/>
  <c r="I89" i="7"/>
  <c r="F105" i="7"/>
  <c r="D105" i="7"/>
  <c r="G60" i="1"/>
  <c r="G61" i="1"/>
  <c r="F39" i="10"/>
  <c r="C103" i="31" s="1"/>
  <c r="E25" i="12"/>
  <c r="B59" i="18"/>
  <c r="B58" i="18"/>
  <c r="AT55" i="18"/>
  <c r="AS55" i="18"/>
  <c r="AR55" i="18"/>
  <c r="AQ55" i="18"/>
  <c r="AW54" i="18"/>
  <c r="AV54" i="18"/>
  <c r="AT54" i="18"/>
  <c r="AS54" i="18"/>
  <c r="AR54" i="18"/>
  <c r="AQ54" i="18"/>
  <c r="AS42" i="18"/>
  <c r="AR42" i="18"/>
  <c r="AS32" i="18"/>
  <c r="AR32" i="18"/>
  <c r="AT22" i="18"/>
  <c r="AS22" i="18"/>
  <c r="AR22" i="18"/>
  <c r="D88" i="15"/>
  <c r="C88" i="15" s="1"/>
  <c r="D89" i="15"/>
  <c r="C89" i="15" s="1"/>
  <c r="F59" i="18" l="1"/>
  <c r="G81" i="13"/>
  <c r="F249" i="20"/>
  <c r="AJ115" i="1"/>
  <c r="AK115" i="1" s="1"/>
  <c r="F237" i="20"/>
  <c r="F129" i="20"/>
  <c r="J29" i="20" s="1"/>
  <c r="K29" i="20" s="1"/>
  <c r="F243" i="20"/>
  <c r="F248" i="20"/>
  <c r="F241" i="20"/>
  <c r="F244" i="20"/>
  <c r="AI9" i="20"/>
  <c r="AJ9" i="20" s="1"/>
  <c r="AI12" i="20"/>
  <c r="AJ12" i="20" s="1"/>
  <c r="F117" i="20"/>
  <c r="F242" i="20"/>
  <c r="F247" i="20"/>
  <c r="F251" i="20"/>
  <c r="F245" i="20"/>
  <c r="F120" i="20"/>
  <c r="F250" i="20"/>
  <c r="F240" i="20"/>
  <c r="F118" i="20"/>
  <c r="F311" i="20"/>
  <c r="AI14" i="20" s="1"/>
  <c r="AJ14" i="20" s="1"/>
  <c r="F121" i="20"/>
  <c r="F239" i="20"/>
  <c r="K93" i="20"/>
  <c r="K96" i="20" s="1"/>
  <c r="J57" i="20" s="1"/>
  <c r="O6" i="20" s="1"/>
  <c r="K94" i="20"/>
  <c r="K97" i="20" s="1"/>
  <c r="J58" i="20" s="1"/>
  <c r="O7" i="20" s="1"/>
  <c r="F115" i="20"/>
  <c r="F127" i="20"/>
  <c r="F238" i="20"/>
  <c r="F246" i="20"/>
  <c r="AI13" i="20"/>
  <c r="AJ13" i="20" s="1"/>
  <c r="F123" i="20"/>
  <c r="F124" i="20"/>
  <c r="AI10" i="20"/>
  <c r="AJ10" i="20" s="1"/>
  <c r="F349" i="20"/>
  <c r="AI17" i="20" s="1"/>
  <c r="AJ17" i="20" s="1"/>
  <c r="AI7" i="20"/>
  <c r="AJ7" i="20" s="1"/>
  <c r="AI11" i="20"/>
  <c r="AJ11" i="20" s="1"/>
  <c r="AI8" i="20"/>
  <c r="AJ8" i="20" s="1"/>
  <c r="R32" i="20"/>
  <c r="N29" i="20"/>
  <c r="J4" i="20"/>
  <c r="N45" i="20"/>
  <c r="R102" i="20" s="1"/>
  <c r="S102" i="20" s="1"/>
  <c r="N61" i="20"/>
  <c r="J10" i="20"/>
  <c r="J61" i="20"/>
  <c r="K61" i="20" s="1"/>
  <c r="N55" i="20" s="1"/>
  <c r="R59" i="20"/>
  <c r="R68" i="20"/>
  <c r="R77" i="20"/>
  <c r="E105" i="7"/>
  <c r="H190" i="7"/>
  <c r="F190" i="7"/>
  <c r="D190" i="7"/>
  <c r="AI125" i="1"/>
  <c r="C77" i="15"/>
  <c r="D77" i="15"/>
  <c r="E77" i="15"/>
  <c r="F77" i="15"/>
  <c r="G77" i="15"/>
  <c r="H77" i="15"/>
  <c r="B77" i="15"/>
  <c r="B61" i="15"/>
  <c r="B60" i="15"/>
  <c r="B59" i="15"/>
  <c r="B57" i="15"/>
  <c r="C64" i="15"/>
  <c r="D64" i="15"/>
  <c r="E64" i="15"/>
  <c r="F64" i="15"/>
  <c r="G64" i="15"/>
  <c r="H64" i="15"/>
  <c r="B62" i="15"/>
  <c r="C20" i="4"/>
  <c r="C21" i="4" s="1"/>
  <c r="AJ125" i="1" l="1"/>
  <c r="AK125" i="1" s="1"/>
  <c r="B66" i="15"/>
  <c r="F252" i="20"/>
  <c r="AI18" i="20" s="1"/>
  <c r="AJ18" i="20" s="1"/>
  <c r="AJ45" i="20" s="1"/>
  <c r="K58" i="20"/>
  <c r="P7" i="20" s="1"/>
  <c r="R69" i="20"/>
  <c r="R78" i="20"/>
  <c r="R60" i="20"/>
  <c r="J68" i="20"/>
  <c r="N29" i="15"/>
  <c r="N28" i="15"/>
  <c r="B89" i="15"/>
  <c r="B88" i="15"/>
  <c r="C87" i="15"/>
  <c r="D87" i="15" s="1"/>
  <c r="B87" i="15" s="1"/>
  <c r="C86" i="15"/>
  <c r="D86" i="15" s="1"/>
  <c r="B86" i="15" s="1"/>
  <c r="C85" i="15"/>
  <c r="D85" i="15" s="1"/>
  <c r="B85" i="15" s="1"/>
  <c r="C84" i="15"/>
  <c r="D84" i="15" s="1"/>
  <c r="B84" i="15" s="1"/>
  <c r="C83" i="15"/>
  <c r="C100" i="15" l="1"/>
  <c r="C112" i="15" s="1"/>
  <c r="K16" i="20"/>
  <c r="K62" i="20"/>
  <c r="N57" i="20" s="1"/>
  <c r="R44" i="20" s="1"/>
  <c r="F8" i="20"/>
  <c r="F12" i="20" s="1"/>
  <c r="AJ46" i="20"/>
  <c r="K57" i="20"/>
  <c r="P6" i="20" s="1"/>
  <c r="K54" i="20"/>
  <c r="K48" i="20"/>
  <c r="K5" i="20" s="1"/>
  <c r="K64" i="20"/>
  <c r="N58" i="20" s="1"/>
  <c r="K65" i="20"/>
  <c r="N60" i="20" s="1"/>
  <c r="K55" i="20"/>
  <c r="P4" i="20" s="1"/>
  <c r="K52" i="20"/>
  <c r="K51" i="20"/>
  <c r="K34" i="20"/>
  <c r="N32" i="20" s="1"/>
  <c r="R25" i="20" s="1"/>
  <c r="K39" i="20"/>
  <c r="K33" i="20"/>
  <c r="K21" i="20"/>
  <c r="N27" i="20" s="1"/>
  <c r="K66" i="20"/>
  <c r="K32" i="20"/>
  <c r="N30" i="20" s="1"/>
  <c r="K60" i="20"/>
  <c r="K63" i="20"/>
  <c r="K56" i="20"/>
  <c r="Q7" i="20"/>
  <c r="K49" i="20"/>
  <c r="K53" i="20"/>
  <c r="K47" i="20"/>
  <c r="K4" i="20" s="1"/>
  <c r="K50" i="20"/>
  <c r="L11" i="20"/>
  <c r="L4" i="20"/>
  <c r="K18" i="20"/>
  <c r="K23" i="20"/>
  <c r="N26" i="20" s="1"/>
  <c r="K15" i="20"/>
  <c r="K17" i="20"/>
  <c r="S3" i="20"/>
  <c r="S4" i="20"/>
  <c r="S5" i="20"/>
  <c r="S10" i="20"/>
  <c r="C6" i="20"/>
  <c r="F6" i="20" s="1"/>
  <c r="S6" i="20"/>
  <c r="S7" i="20"/>
  <c r="S8" i="20"/>
  <c r="S9" i="20"/>
  <c r="C93" i="15"/>
  <c r="C94" i="15"/>
  <c r="C99" i="15"/>
  <c r="C97" i="15"/>
  <c r="C95" i="15"/>
  <c r="D83" i="15"/>
  <c r="B83" i="15" s="1"/>
  <c r="C98" i="15"/>
  <c r="C96" i="15"/>
  <c r="N23" i="20" l="1"/>
  <c r="R138" i="20" s="1"/>
  <c r="B93" i="15"/>
  <c r="B100" i="15"/>
  <c r="B95" i="15"/>
  <c r="D95" i="15" s="1"/>
  <c r="B94" i="15"/>
  <c r="D94" i="15" s="1"/>
  <c r="B97" i="15"/>
  <c r="D97" i="15" s="1"/>
  <c r="B96" i="15"/>
  <c r="D96" i="15" s="1"/>
  <c r="B98" i="15"/>
  <c r="D98" i="15" s="1"/>
  <c r="N56" i="20"/>
  <c r="R43" i="20" s="1"/>
  <c r="R45" i="20" s="1"/>
  <c r="S45" i="20" s="1"/>
  <c r="N16" i="20"/>
  <c r="R114" i="20" s="1"/>
  <c r="N31" i="20"/>
  <c r="R29" i="20" s="1"/>
  <c r="R33" i="20" s="1"/>
  <c r="K11" i="20"/>
  <c r="N50" i="20"/>
  <c r="N18" i="20"/>
  <c r="R131" i="20" s="1"/>
  <c r="N15" i="20"/>
  <c r="N22" i="20"/>
  <c r="N51" i="20"/>
  <c r="R49" i="20" s="1"/>
  <c r="N19" i="20"/>
  <c r="R137" i="20" s="1"/>
  <c r="R47" i="20"/>
  <c r="R27" i="20"/>
  <c r="S27" i="20" s="1"/>
  <c r="N48" i="20"/>
  <c r="K9" i="20"/>
  <c r="K8" i="20"/>
  <c r="N47" i="20"/>
  <c r="N39" i="20"/>
  <c r="N17" i="20"/>
  <c r="R118" i="20" s="1"/>
  <c r="R129" i="20" s="1"/>
  <c r="N24" i="20"/>
  <c r="N59" i="20"/>
  <c r="R46" i="20" s="1"/>
  <c r="P5" i="20"/>
  <c r="N53" i="20"/>
  <c r="K6" i="20"/>
  <c r="N52" i="20"/>
  <c r="K10" i="20"/>
  <c r="N49" i="20"/>
  <c r="N21" i="20"/>
  <c r="K7" i="20"/>
  <c r="N46" i="20"/>
  <c r="K68" i="20"/>
  <c r="N25" i="20"/>
  <c r="N20" i="20"/>
  <c r="S11" i="20"/>
  <c r="F10" i="20" s="1"/>
  <c r="B99" i="15"/>
  <c r="D99" i="15" s="1"/>
  <c r="B105" i="15"/>
  <c r="B124" i="15" l="1"/>
  <c r="D100" i="15"/>
  <c r="B112" i="15"/>
  <c r="R51" i="20"/>
  <c r="R20" i="20"/>
  <c r="R117" i="20"/>
  <c r="R132" i="20"/>
  <c r="R64" i="20" s="1"/>
  <c r="R115" i="20"/>
  <c r="R30" i="20" s="1"/>
  <c r="R41" i="20"/>
  <c r="R21" i="20"/>
  <c r="R89" i="20"/>
  <c r="R141" i="20"/>
  <c r="R90" i="20"/>
  <c r="R110" i="20"/>
  <c r="R17" i="20" s="1"/>
  <c r="R142" i="20"/>
  <c r="R106" i="20"/>
  <c r="R144" i="20"/>
  <c r="R133" i="20"/>
  <c r="R145" i="20"/>
  <c r="R143" i="20"/>
  <c r="R148" i="20"/>
  <c r="R151" i="20"/>
  <c r="R42" i="20"/>
  <c r="R135" i="20"/>
  <c r="R57" i="20"/>
  <c r="R65" i="20"/>
  <c r="R74" i="20"/>
  <c r="R23" i="20"/>
  <c r="R22" i="20"/>
  <c r="R146" i="20"/>
  <c r="R24" i="20"/>
  <c r="S24" i="20" s="1"/>
  <c r="R123" i="20"/>
  <c r="R39" i="20" s="1"/>
  <c r="R124" i="20"/>
  <c r="R28" i="20"/>
  <c r="S28" i="20" s="1"/>
  <c r="R139" i="20"/>
  <c r="R87" i="20"/>
  <c r="R66" i="20"/>
  <c r="R53" i="20"/>
  <c r="R75" i="20"/>
  <c r="R76" i="20"/>
  <c r="R67" i="20"/>
  <c r="R58" i="20"/>
  <c r="R54" i="20"/>
  <c r="R63" i="20"/>
  <c r="R62" i="20"/>
  <c r="R55" i="20"/>
  <c r="R72" i="20"/>
  <c r="R71" i="20"/>
  <c r="R92" i="20"/>
  <c r="R91" i="20"/>
  <c r="R107" i="20"/>
  <c r="R15" i="20" s="1"/>
  <c r="S15" i="20" s="1"/>
  <c r="R108" i="20"/>
  <c r="D93" i="15"/>
  <c r="G54" i="1"/>
  <c r="G36" i="1"/>
  <c r="E52" i="12"/>
  <c r="C10" i="2"/>
  <c r="G35" i="1"/>
  <c r="E40" i="12"/>
  <c r="O41" i="1"/>
  <c r="P41" i="1"/>
  <c r="G41" i="1"/>
  <c r="C226" i="7"/>
  <c r="D226" i="7" s="1"/>
  <c r="C20" i="7" l="1"/>
  <c r="G20" i="7"/>
  <c r="I20" i="7"/>
  <c r="H20" i="7"/>
  <c r="R50" i="20"/>
  <c r="S50" i="20" s="1"/>
  <c r="R134" i="20"/>
  <c r="R52" i="20"/>
  <c r="S52" i="20" s="1"/>
  <c r="R73" i="20"/>
  <c r="R56" i="20"/>
  <c r="R18" i="20"/>
  <c r="R147" i="20"/>
  <c r="R95" i="20"/>
  <c r="R16" i="20" s="1"/>
  <c r="R149" i="20"/>
  <c r="R104" i="20" s="1"/>
  <c r="S104" i="20" s="1"/>
  <c r="R40" i="20"/>
  <c r="R48" i="20"/>
  <c r="S48" i="20" s="1"/>
  <c r="R140" i="20"/>
  <c r="R88" i="20" s="1"/>
  <c r="S53" i="20"/>
  <c r="R136" i="20"/>
  <c r="S55" i="20"/>
  <c r="R93" i="20"/>
  <c r="S93" i="20" s="1"/>
  <c r="R94" i="20"/>
  <c r="H25" i="7"/>
  <c r="E25" i="7"/>
  <c r="D25" i="7"/>
  <c r="G25" i="7"/>
  <c r="F25" i="7"/>
  <c r="I25" i="7"/>
  <c r="AS13" i="18"/>
  <c r="AR13" i="18"/>
  <c r="K299" i="1"/>
  <c r="R111" i="20" l="1"/>
  <c r="R96" i="20" s="1"/>
  <c r="S101" i="20" s="1"/>
  <c r="C104" i="13"/>
  <c r="R81" i="20"/>
  <c r="R80" i="20"/>
  <c r="R150" i="20"/>
  <c r="R153" i="20" s="1"/>
  <c r="R79" i="20"/>
  <c r="R70" i="20"/>
  <c r="S70" i="20" s="1"/>
  <c r="R61" i="20"/>
  <c r="S61" i="20" s="1"/>
  <c r="S94" i="20"/>
  <c r="R35" i="20"/>
  <c r="S42" i="20" s="1"/>
  <c r="K13" i="10"/>
  <c r="B411" i="1" l="1"/>
  <c r="K365" i="1" s="1"/>
  <c r="R83" i="20"/>
  <c r="R84" i="20"/>
  <c r="S84" i="20" s="1"/>
  <c r="R85" i="20"/>
  <c r="R82" i="20"/>
  <c r="S81" i="20"/>
  <c r="R152" i="20"/>
  <c r="S79" i="20"/>
  <c r="R19" i="20"/>
  <c r="C16" i="2"/>
  <c r="S83" i="20" l="1"/>
  <c r="R86" i="20"/>
  <c r="R155" i="20" s="1"/>
  <c r="S23" i="20"/>
  <c r="G81" i="1"/>
  <c r="G79" i="1"/>
  <c r="G80" i="1"/>
  <c r="G78" i="1"/>
  <c r="I368" i="1" l="1" a="1"/>
  <c r="I368" i="1" s="1"/>
  <c r="R105" i="20"/>
  <c r="C5" i="20" s="1"/>
  <c r="S86" i="20"/>
  <c r="S105" i="20" s="1"/>
  <c r="C4" i="20" s="1"/>
  <c r="E37" i="12"/>
  <c r="C123" i="10"/>
  <c r="E4" i="20" l="1"/>
  <c r="H61" i="15"/>
  <c r="G61" i="15"/>
  <c r="F61" i="15"/>
  <c r="E61" i="15"/>
  <c r="D61" i="15"/>
  <c r="C61" i="15"/>
  <c r="C60" i="15"/>
  <c r="D60" i="15"/>
  <c r="E60" i="15"/>
  <c r="F60" i="15"/>
  <c r="G60" i="15"/>
  <c r="H60" i="15"/>
  <c r="H59" i="15"/>
  <c r="G59" i="15"/>
  <c r="F59" i="15"/>
  <c r="E59" i="15"/>
  <c r="D59" i="15"/>
  <c r="C59" i="15"/>
  <c r="H58" i="15"/>
  <c r="G58" i="15"/>
  <c r="F58" i="15"/>
  <c r="E58" i="15"/>
  <c r="D58" i="15"/>
  <c r="C58" i="15"/>
  <c r="H57" i="15"/>
  <c r="G57" i="15"/>
  <c r="F57" i="15"/>
  <c r="B121" i="15" s="1"/>
  <c r="AQ42" i="18" s="1"/>
  <c r="E57" i="15"/>
  <c r="D57" i="15"/>
  <c r="C57" i="15"/>
  <c r="E35" i="12"/>
  <c r="C18" i="2"/>
  <c r="C20" i="2" s="1"/>
  <c r="H75" i="15"/>
  <c r="G75" i="15"/>
  <c r="F75" i="15"/>
  <c r="E75" i="15"/>
  <c r="D75" i="15"/>
  <c r="C75" i="15"/>
  <c r="B75" i="15"/>
  <c r="H74" i="15"/>
  <c r="G74" i="15"/>
  <c r="F74" i="15"/>
  <c r="E74" i="15"/>
  <c r="D74" i="15"/>
  <c r="C74" i="15"/>
  <c r="B74" i="15"/>
  <c r="H73" i="15"/>
  <c r="G73" i="15"/>
  <c r="F73" i="15"/>
  <c r="E73" i="15"/>
  <c r="D73" i="15"/>
  <c r="C73" i="15"/>
  <c r="B73" i="15"/>
  <c r="H72" i="15"/>
  <c r="G72" i="15"/>
  <c r="F72" i="15"/>
  <c r="E72" i="15"/>
  <c r="D72" i="15"/>
  <c r="C72" i="15"/>
  <c r="B72" i="15"/>
  <c r="H71" i="15"/>
  <c r="G71" i="15"/>
  <c r="F71" i="15"/>
  <c r="E71" i="15"/>
  <c r="D71" i="15"/>
  <c r="C71" i="15"/>
  <c r="B71" i="15"/>
  <c r="H70" i="15"/>
  <c r="G70" i="15"/>
  <c r="F70" i="15"/>
  <c r="E70" i="15"/>
  <c r="D70" i="15"/>
  <c r="C70" i="15"/>
  <c r="B70" i="15"/>
  <c r="H62" i="15"/>
  <c r="G62" i="15"/>
  <c r="F62" i="15"/>
  <c r="E62" i="15"/>
  <c r="D62" i="15"/>
  <c r="C62" i="15"/>
  <c r="B117" i="15"/>
  <c r="AQ13" i="18" s="1"/>
  <c r="C235" i="7"/>
  <c r="D235" i="7" s="1"/>
  <c r="C234" i="7"/>
  <c r="D234" i="7" s="1"/>
  <c r="C233" i="7"/>
  <c r="D233" i="7" s="1"/>
  <c r="C227" i="7"/>
  <c r="D227" i="7" s="1"/>
  <c r="C225" i="7"/>
  <c r="D225" i="7" s="1"/>
  <c r="C224" i="7"/>
  <c r="D224" i="7" s="1"/>
  <c r="A221" i="7"/>
  <c r="A220" i="7"/>
  <c r="I219" i="7"/>
  <c r="H219" i="7"/>
  <c r="G219" i="7"/>
  <c r="F219" i="7"/>
  <c r="E219" i="7"/>
  <c r="D219" i="7"/>
  <c r="C219" i="7"/>
  <c r="B219" i="7"/>
  <c r="A219" i="7"/>
  <c r="I188" i="7"/>
  <c r="H188" i="7"/>
  <c r="G188" i="7"/>
  <c r="F188" i="7"/>
  <c r="E188" i="7"/>
  <c r="D188" i="7"/>
  <c r="C188" i="7"/>
  <c r="B188" i="7"/>
  <c r="A188" i="7"/>
  <c r="I132" i="7"/>
  <c r="H132" i="7"/>
  <c r="G132" i="7"/>
  <c r="F132" i="7"/>
  <c r="E132" i="7"/>
  <c r="D132" i="7"/>
  <c r="C132" i="7"/>
  <c r="B132" i="7"/>
  <c r="A132" i="7"/>
  <c r="A131" i="7"/>
  <c r="I129" i="7"/>
  <c r="H129" i="7"/>
  <c r="G129" i="7"/>
  <c r="F129" i="7"/>
  <c r="E129" i="7"/>
  <c r="D129" i="7"/>
  <c r="C129" i="7"/>
  <c r="B129" i="7"/>
  <c r="E21" i="12"/>
  <c r="E39" i="12"/>
  <c r="E36" i="12"/>
  <c r="E58" i="12"/>
  <c r="E59" i="12"/>
  <c r="E41" i="12" l="1"/>
  <c r="L13" i="12" s="1"/>
  <c r="F79" i="15"/>
  <c r="C109" i="15" s="1"/>
  <c r="AT42" i="18" s="1"/>
  <c r="C66" i="15"/>
  <c r="B106" i="15" s="1"/>
  <c r="E66" i="15"/>
  <c r="B108" i="15" s="1"/>
  <c r="B17" i="18" s="1"/>
  <c r="D17" i="18" s="1"/>
  <c r="G76" i="31" s="1"/>
  <c r="G66" i="15"/>
  <c r="B110" i="15" s="1"/>
  <c r="D66" i="15"/>
  <c r="B107" i="15" s="1"/>
  <c r="B36" i="18" s="1"/>
  <c r="D36" i="18" s="1"/>
  <c r="G78" i="31" s="1"/>
  <c r="F66" i="15"/>
  <c r="H66" i="15"/>
  <c r="B111" i="15" s="1"/>
  <c r="D79" i="15"/>
  <c r="E79" i="15"/>
  <c r="C108" i="15" s="1"/>
  <c r="E60" i="12"/>
  <c r="L16" i="12" s="1"/>
  <c r="B79" i="15"/>
  <c r="G79" i="15"/>
  <c r="C110" i="15" s="1"/>
  <c r="H79" i="15"/>
  <c r="C111" i="15" s="1"/>
  <c r="C79" i="15"/>
  <c r="C106" i="15" s="1"/>
  <c r="B119" i="15"/>
  <c r="B123" i="15"/>
  <c r="B118" i="15"/>
  <c r="B120" i="15"/>
  <c r="B122" i="15"/>
  <c r="F36" i="18" l="1"/>
  <c r="G78" i="13"/>
  <c r="B26" i="18"/>
  <c r="B109" i="15"/>
  <c r="B67" i="18" s="1"/>
  <c r="C105" i="15"/>
  <c r="AU13" i="18" s="1"/>
  <c r="C107" i="15"/>
  <c r="AW32" i="18" s="1"/>
  <c r="AQ22" i="18"/>
  <c r="AQ32" i="18"/>
  <c r="AV32" i="18"/>
  <c r="G64" i="1"/>
  <c r="G65" i="1"/>
  <c r="AI149" i="1"/>
  <c r="AI114" i="1"/>
  <c r="AI120" i="1"/>
  <c r="AI122" i="1"/>
  <c r="AI123" i="1"/>
  <c r="AI124" i="1"/>
  <c r="AI130" i="1"/>
  <c r="AI134" i="1"/>
  <c r="AI135" i="1"/>
  <c r="AI136" i="1"/>
  <c r="AI137" i="1"/>
  <c r="AI138" i="1"/>
  <c r="AI139" i="1"/>
  <c r="AI140" i="1"/>
  <c r="AI141" i="1"/>
  <c r="AI142" i="1"/>
  <c r="O255" i="1"/>
  <c r="P255" i="1"/>
  <c r="C126" i="10"/>
  <c r="C127" i="10"/>
  <c r="C125" i="10"/>
  <c r="C124" i="10"/>
  <c r="C119" i="10"/>
  <c r="C118" i="10"/>
  <c r="C117" i="10"/>
  <c r="G40" i="1"/>
  <c r="G76" i="13" l="1"/>
  <c r="F26" i="18"/>
  <c r="G77" i="13"/>
  <c r="F17" i="18"/>
  <c r="AJ141" i="1"/>
  <c r="AK141" i="1" s="1"/>
  <c r="AJ120" i="1"/>
  <c r="AK120" i="1" s="1"/>
  <c r="AJ136" i="1"/>
  <c r="AK136" i="1" s="1"/>
  <c r="AJ114" i="1"/>
  <c r="AK114" i="1" s="1"/>
  <c r="AJ137" i="1"/>
  <c r="AK137" i="1" s="1"/>
  <c r="AJ124" i="1"/>
  <c r="AK124" i="1" s="1"/>
  <c r="AJ135" i="1"/>
  <c r="AK135" i="1" s="1"/>
  <c r="AJ123" i="1"/>
  <c r="AK123" i="1" s="1"/>
  <c r="AJ149" i="1"/>
  <c r="AK149" i="1"/>
  <c r="AJ130" i="1"/>
  <c r="AK130" i="1" s="1"/>
  <c r="AJ140" i="1"/>
  <c r="AK140" i="1" s="1"/>
  <c r="AJ142" i="1"/>
  <c r="AK142" i="1" s="1"/>
  <c r="AJ138" i="1"/>
  <c r="AK138" i="1" s="1"/>
  <c r="AJ122" i="1"/>
  <c r="AK122" i="1" s="1"/>
  <c r="AT32" i="18"/>
  <c r="B46" i="18"/>
  <c r="AJ134" i="1"/>
  <c r="AK134" i="1" s="1"/>
  <c r="AJ139" i="1"/>
  <c r="AK139" i="1" s="1"/>
  <c r="AW55" i="18"/>
  <c r="AV55" i="18"/>
  <c r="B69" i="18"/>
  <c r="G84" i="31" s="1"/>
  <c r="E84" i="7"/>
  <c r="F84" i="7"/>
  <c r="D84" i="7"/>
  <c r="E125" i="7"/>
  <c r="F126" i="7"/>
  <c r="D126" i="7"/>
  <c r="E127" i="7"/>
  <c r="F125" i="7"/>
  <c r="D125" i="7"/>
  <c r="E126" i="7"/>
  <c r="F127" i="7"/>
  <c r="D127" i="7"/>
  <c r="AU22" i="18"/>
  <c r="O257" i="1"/>
  <c r="P257" i="1"/>
  <c r="C14" i="2"/>
  <c r="C33" i="2" s="1"/>
  <c r="J15" i="2" s="1"/>
  <c r="B49" i="31" s="1"/>
  <c r="F64" i="18" l="1"/>
  <c r="G84" i="13"/>
  <c r="F69" i="18"/>
  <c r="F86" i="7"/>
  <c r="D86" i="7"/>
  <c r="E86" i="7"/>
  <c r="M299" i="1"/>
  <c r="L299" i="1"/>
  <c r="C94" i="31" l="1"/>
  <c r="M11" i="18"/>
  <c r="C92" i="31"/>
  <c r="M10" i="18"/>
  <c r="C93" i="13"/>
  <c r="F93" i="18"/>
  <c r="C95" i="13"/>
  <c r="AH131" i="1"/>
  <c r="AH132" i="1"/>
  <c r="AH133" i="1"/>
  <c r="AH126" i="1"/>
  <c r="M13" i="18" l="1"/>
  <c r="C198" i="7"/>
  <c r="B198" i="7"/>
  <c r="C203" i="7"/>
  <c r="B203" i="7"/>
  <c r="C197" i="7"/>
  <c r="B197" i="7"/>
  <c r="C204" i="7"/>
  <c r="B204" i="7"/>
  <c r="C202" i="7"/>
  <c r="B202" i="7"/>
  <c r="AI126" i="1"/>
  <c r="AI133" i="1"/>
  <c r="AI131" i="1"/>
  <c r="AI127" i="1"/>
  <c r="AI132" i="1"/>
  <c r="G52" i="1"/>
  <c r="G53" i="1"/>
  <c r="G55" i="1"/>
  <c r="G56" i="1"/>
  <c r="G57" i="1"/>
  <c r="G59" i="1"/>
  <c r="G58" i="1"/>
  <c r="G42" i="1"/>
  <c r="G43" i="1"/>
  <c r="G46" i="1"/>
  <c r="G62" i="1"/>
  <c r="N144" i="1"/>
  <c r="O144" i="1"/>
  <c r="P144" i="1"/>
  <c r="B50" i="13" l="1"/>
  <c r="B50" i="31"/>
  <c r="C30" i="7"/>
  <c r="G30" i="7"/>
  <c r="H30" i="7"/>
  <c r="I30" i="7"/>
  <c r="AJ132" i="1"/>
  <c r="AK132" i="1" s="1"/>
  <c r="AJ126" i="1"/>
  <c r="AK126" i="1" s="1"/>
  <c r="AJ133" i="1"/>
  <c r="AK133" i="1" s="1"/>
  <c r="AJ127" i="1"/>
  <c r="AK127" i="1" s="1"/>
  <c r="AJ131" i="1"/>
  <c r="AK131" i="1" s="1"/>
  <c r="AW42" i="18"/>
  <c r="AV42" i="18"/>
  <c r="I215" i="7"/>
  <c r="F215" i="7"/>
  <c r="C13" i="7" s="1"/>
  <c r="G215" i="7"/>
  <c r="D215" i="7"/>
  <c r="E215" i="7"/>
  <c r="H215" i="7"/>
  <c r="AH143" i="1"/>
  <c r="L424" i="1" s="1"/>
  <c r="AH129" i="1"/>
  <c r="AH128" i="1"/>
  <c r="AH121" i="1"/>
  <c r="L426" i="1" l="1"/>
  <c r="L425" i="1"/>
  <c r="C199" i="7"/>
  <c r="B199" i="7"/>
  <c r="C214" i="7"/>
  <c r="B214" i="7"/>
  <c r="C192" i="7"/>
  <c r="B192" i="7"/>
  <c r="C200" i="7"/>
  <c r="B200" i="7"/>
  <c r="AI128" i="1"/>
  <c r="AI143" i="1"/>
  <c r="AI121" i="1"/>
  <c r="AI129" i="1"/>
  <c r="AJ121" i="1" l="1"/>
  <c r="AK121" i="1" s="1"/>
  <c r="AJ143" i="1"/>
  <c r="AK143" i="1" s="1"/>
  <c r="AJ129" i="1"/>
  <c r="AK129" i="1" s="1"/>
  <c r="AJ128" i="1"/>
  <c r="AK128" i="1" s="1"/>
  <c r="AV22" i="18"/>
  <c r="AW22" i="18"/>
  <c r="E53" i="12"/>
  <c r="E49" i="12"/>
  <c r="E48" i="12"/>
  <c r="E47" i="12"/>
  <c r="E45" i="12"/>
  <c r="E44" i="12"/>
  <c r="E54" i="12"/>
  <c r="C12" i="7" l="1"/>
  <c r="J12" i="2"/>
  <c r="E55" i="12"/>
  <c r="E56" i="12" s="1"/>
  <c r="E32" i="12"/>
  <c r="E31" i="12"/>
  <c r="E30" i="12"/>
  <c r="E29" i="12"/>
  <c r="E28" i="12"/>
  <c r="E27" i="12"/>
  <c r="E24" i="12"/>
  <c r="C112" i="13"/>
  <c r="G14" i="12"/>
  <c r="C109" i="13"/>
  <c r="G13" i="12"/>
  <c r="G12" i="12"/>
  <c r="G11" i="12"/>
  <c r="G9" i="12"/>
  <c r="D127" i="10"/>
  <c r="D126" i="10"/>
  <c r="D125" i="10"/>
  <c r="D124" i="10"/>
  <c r="D123" i="10"/>
  <c r="F30" i="10"/>
  <c r="F29" i="10"/>
  <c r="H12" i="10"/>
  <c r="F13" i="10"/>
  <c r="H11" i="10"/>
  <c r="H10" i="10"/>
  <c r="H8" i="10"/>
  <c r="C15" i="4"/>
  <c r="C17" i="4" s="1"/>
  <c r="E12" i="4"/>
  <c r="E11" i="4"/>
  <c r="E10" i="4"/>
  <c r="C88" i="31" l="1"/>
  <c r="C27" i="4"/>
  <c r="J11" i="4"/>
  <c r="C83" i="31" s="1"/>
  <c r="F31" i="10"/>
  <c r="K12" i="10" s="1"/>
  <c r="C102" i="31" s="1"/>
  <c r="B84" i="13"/>
  <c r="B83" i="13"/>
  <c r="B85" i="13"/>
  <c r="C89" i="13"/>
  <c r="C99" i="13"/>
  <c r="L15" i="12"/>
  <c r="C111" i="13" s="1"/>
  <c r="E33" i="12"/>
  <c r="L12" i="12" s="1"/>
  <c r="C108" i="13" s="1"/>
  <c r="D128" i="10"/>
  <c r="D115" i="10"/>
  <c r="D117" i="10"/>
  <c r="D16" i="12" s="1"/>
  <c r="E16" i="12" s="1"/>
  <c r="D119" i="10"/>
  <c r="D18" i="12" s="1"/>
  <c r="E18" i="12" s="1"/>
  <c r="D116" i="10"/>
  <c r="D15" i="12" s="1"/>
  <c r="E15" i="12" s="1"/>
  <c r="D118" i="10"/>
  <c r="D17" i="12" s="1"/>
  <c r="E17" i="12" s="1"/>
  <c r="J12" i="4"/>
  <c r="C84" i="31" s="1"/>
  <c r="C84" i="13" l="1"/>
  <c r="J14" i="4"/>
  <c r="B48" i="31" s="1"/>
  <c r="C85" i="13"/>
  <c r="F14" i="10"/>
  <c r="D121" i="10"/>
  <c r="D130" i="10" s="1"/>
  <c r="K11" i="10"/>
  <c r="C101" i="31" s="1"/>
  <c r="J10" i="4"/>
  <c r="C82" i="31" s="1"/>
  <c r="C103" i="13"/>
  <c r="D14" i="12"/>
  <c r="E14" i="12" s="1"/>
  <c r="E22" i="12" s="1"/>
  <c r="J11" i="2"/>
  <c r="C87" i="31" l="1"/>
  <c r="F15" i="10"/>
  <c r="F18" i="10" s="1"/>
  <c r="C102" i="13"/>
  <c r="C88" i="13"/>
  <c r="C83" i="13"/>
  <c r="L11" i="12"/>
  <c r="C107" i="13" s="1"/>
  <c r="J10" i="2"/>
  <c r="C86" i="31" l="1"/>
  <c r="F40" i="10"/>
  <c r="K14" i="10" s="1"/>
  <c r="C87" i="13"/>
  <c r="B53" i="31" l="1"/>
  <c r="B53" i="13"/>
  <c r="K10" i="10"/>
  <c r="C100" i="31" s="1"/>
  <c r="C90" i="13"/>
  <c r="C101" i="13" l="1"/>
  <c r="F12" i="9"/>
  <c r="F22" i="9" s="1"/>
  <c r="M11" i="9" s="1"/>
  <c r="C95" i="31" s="1"/>
  <c r="F45" i="9" l="1"/>
  <c r="M16" i="9" s="1"/>
  <c r="B51" i="31" s="1"/>
  <c r="C98" i="13"/>
  <c r="C97" i="13" l="1"/>
  <c r="B51" i="13"/>
  <c r="G37" i="1" l="1"/>
  <c r="G38" i="1"/>
  <c r="G39" i="1"/>
  <c r="G66" i="1"/>
  <c r="G44" i="1"/>
  <c r="G45" i="1"/>
  <c r="G63" i="1"/>
  <c r="I22" i="7" l="1"/>
  <c r="H22" i="7"/>
  <c r="C22" i="7"/>
  <c r="G22" i="7"/>
  <c r="H23" i="7"/>
  <c r="I23" i="7"/>
  <c r="C23" i="7"/>
  <c r="G23" i="7"/>
  <c r="C21" i="7"/>
  <c r="G21" i="7"/>
  <c r="H21" i="7"/>
  <c r="I21" i="7"/>
  <c r="AV13" i="18"/>
  <c r="AW13" i="18"/>
  <c r="AT13" i="18"/>
  <c r="AH144" i="1"/>
  <c r="P424" i="1" s="1"/>
  <c r="D11" i="7" l="1"/>
  <c r="I365" i="1" a="1"/>
  <c r="I365" i="1" s="1"/>
  <c r="D12" i="7"/>
  <c r="F12" i="7" s="1"/>
  <c r="I12" i="7" s="1"/>
  <c r="D13" i="7"/>
  <c r="P425" i="1"/>
  <c r="Q425" i="1" s="1"/>
  <c r="P426" i="1"/>
  <c r="Q426" i="1" s="1"/>
  <c r="C11" i="7"/>
  <c r="C215" i="7"/>
  <c r="B215" i="7"/>
  <c r="AI144" i="1"/>
  <c r="B48" i="13"/>
  <c r="G72" i="31" l="1"/>
  <c r="Q12" i="7"/>
  <c r="J12" i="7" s="1"/>
  <c r="G72" i="13"/>
  <c r="H12" i="7"/>
  <c r="H13" i="7"/>
  <c r="F13" i="7"/>
  <c r="I13" i="7" s="1"/>
  <c r="AJ144" i="1"/>
  <c r="AK144" i="1"/>
  <c r="F11" i="7"/>
  <c r="I11" i="7" s="1"/>
  <c r="H11" i="7"/>
  <c r="G73" i="31" l="1"/>
  <c r="Q13" i="7"/>
  <c r="J13" i="7" s="1"/>
  <c r="G71" i="31"/>
  <c r="Q11" i="7"/>
  <c r="G71" i="13"/>
  <c r="G73" i="13"/>
  <c r="I371" i="1" a="1"/>
  <c r="I371" i="1" s="1"/>
  <c r="I374" i="1" l="1"/>
  <c r="I376" i="1" s="1"/>
  <c r="J11" i="7"/>
  <c r="J14" i="7" s="1"/>
  <c r="C91" i="31" s="1"/>
  <c r="B52" i="31" s="1"/>
  <c r="C96" i="13"/>
  <c r="J14" i="2"/>
  <c r="G66" i="31" l="1"/>
  <c r="G67" i="13"/>
  <c r="C90" i="31"/>
  <c r="C91" i="13"/>
  <c r="C92" i="13"/>
  <c r="B52" i="13" s="1"/>
  <c r="B49" i="13"/>
  <c r="E51" i="12"/>
  <c r="L14" i="12" s="1"/>
  <c r="C110" i="13" s="1"/>
  <c r="E61" i="12" l="1"/>
  <c r="L17" i="12" s="1"/>
  <c r="B5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Laurence Smith</author>
    <author>tc={1D5A9E67-0D6B-480A-9DB2-F66BC8B8E337}</author>
  </authors>
  <commentList>
    <comment ref="A361" authorId="0" shapeId="0" xr:uid="{00000000-0006-0000-0200-0000BC000000}">
      <text>
        <r>
          <rPr>
            <b/>
            <sz val="9"/>
            <color indexed="81"/>
            <rFont val="Tahoma"/>
            <family val="2"/>
          </rPr>
          <t>Laurence Smith:</t>
        </r>
        <r>
          <rPr>
            <sz val="9"/>
            <color indexed="81"/>
            <rFont val="Tahoma"/>
            <family val="2"/>
          </rPr>
          <t xml:space="preserve">
Laurence Smith:
calculated on ME basis</t>
        </r>
      </text>
    </comment>
    <comment ref="A368" authorId="0" shapeId="0" xr:uid="{00000000-0006-0000-0200-0000BD000000}">
      <text>
        <r>
          <rPr>
            <b/>
            <sz val="9"/>
            <color indexed="81"/>
            <rFont val="Tahoma"/>
            <family val="2"/>
          </rPr>
          <t xml:space="preserve">Laurence Smith:
</t>
        </r>
        <r>
          <rPr>
            <sz val="9"/>
            <color indexed="81"/>
            <rFont val="Tahoma"/>
            <family val="2"/>
          </rPr>
          <t>Fruit trees</t>
        </r>
      </text>
    </comment>
    <comment ref="A369" authorId="0" shapeId="0" xr:uid="{00000000-0006-0000-0200-0000BE000000}">
      <text>
        <r>
          <rPr>
            <b/>
            <sz val="9"/>
            <color indexed="81"/>
            <rFont val="Tahoma"/>
            <family val="2"/>
          </rPr>
          <t>Laurence Smith:</t>
        </r>
        <r>
          <rPr>
            <sz val="9"/>
            <color indexed="81"/>
            <rFont val="Tahoma"/>
            <family val="2"/>
          </rPr>
          <t xml:space="preserve">
Other trees (i.e. non fruit)</t>
        </r>
      </text>
    </comment>
    <comment ref="K394" authorId="0" shapeId="0" xr:uid="{00000000-0006-0000-0200-0000BF000000}">
      <text>
        <r>
          <rPr>
            <b/>
            <sz val="9"/>
            <color indexed="81"/>
            <rFont val="Tahoma"/>
            <family val="2"/>
          </rPr>
          <t>Laurence Smith:</t>
        </r>
        <r>
          <rPr>
            <sz val="9"/>
            <color indexed="81"/>
            <rFont val="Tahoma"/>
            <family val="2"/>
          </rPr>
          <t xml:space="preserve">
timber yields from John Nix Farm Management Pocketbook 2015 (45th Edition)</t>
        </r>
      </text>
    </comment>
    <comment ref="B417" authorId="1" shapeId="0" xr:uid="{1D5A9E67-0D6B-480A-9DB2-F66BC8B8E337}">
      <text>
        <t>[Threaded comment]
Your version of Excel allows you to read this threaded comment; however, any edits to it will get removed if the file is opened in a newer version of Excel. Learn more: https://go.microsoft.com/fwlink/?linkid=870924
Comment:
    average yields 2.67t/ha in Spain and2.92 t/ha in Italy. Taken from European Commission, Directorate-General for Agriculture and Rural Development Economic analysis of teh oliver sector July 2012</t>
      </text>
    </comment>
    <comment ref="M425" authorId="0" shapeId="0" xr:uid="{00000000-0006-0000-0200-0000C0000000}">
      <text>
        <r>
          <rPr>
            <b/>
            <sz val="9"/>
            <color indexed="81"/>
            <rFont val="Tahoma"/>
            <family val="2"/>
          </rPr>
          <t>Laurence Smith:</t>
        </r>
        <r>
          <rPr>
            <sz val="9"/>
            <color indexed="81"/>
            <rFont val="Tahoma"/>
            <family val="2"/>
          </rPr>
          <t xml:space="preserve">
includes adjustment for milk
</t>
        </r>
      </text>
    </comment>
    <comment ref="L431" authorId="0" shapeId="0" xr:uid="{00000000-0006-0000-0200-0000C1000000}">
      <text>
        <r>
          <rPr>
            <b/>
            <sz val="9"/>
            <color indexed="81"/>
            <rFont val="Tahoma"/>
            <family val="2"/>
          </rPr>
          <t>Laurence Smith:</t>
        </r>
        <r>
          <rPr>
            <sz val="9"/>
            <color indexed="81"/>
            <rFont val="Tahoma"/>
            <family val="2"/>
          </rPr>
          <t xml:space="preserve">
22-24 month beef from Williams et al. (2006)</t>
        </r>
      </text>
    </comment>
    <comment ref="L432" authorId="0" shapeId="0" xr:uid="{00000000-0006-0000-0200-0000C2000000}">
      <text>
        <r>
          <rPr>
            <b/>
            <sz val="9"/>
            <color indexed="81"/>
            <rFont val="Tahoma"/>
            <family val="2"/>
          </rPr>
          <t>Laurence Smith:</t>
        </r>
        <r>
          <rPr>
            <sz val="9"/>
            <color indexed="81"/>
            <rFont val="Tahoma"/>
            <family val="2"/>
          </rPr>
          <t xml:space="preserve">
Williams et al. 2006
</t>
        </r>
      </text>
    </comment>
    <comment ref="L433" authorId="0" shapeId="0" xr:uid="{00000000-0006-0000-0200-0000C3000000}">
      <text>
        <r>
          <rPr>
            <b/>
            <sz val="9"/>
            <color indexed="81"/>
            <rFont val="Tahoma"/>
            <family val="2"/>
          </rPr>
          <t>Laurence Smith:</t>
        </r>
        <r>
          <rPr>
            <sz val="9"/>
            <color indexed="81"/>
            <rFont val="Tahoma"/>
            <family val="2"/>
          </rPr>
          <t xml:space="preserve">
Williams et al. 2006</t>
        </r>
      </text>
    </comment>
    <comment ref="L434" authorId="0" shapeId="0" xr:uid="{00000000-0006-0000-0200-0000C4000000}">
      <text>
        <r>
          <rPr>
            <b/>
            <sz val="9"/>
            <color indexed="81"/>
            <rFont val="Tahoma"/>
            <family val="2"/>
          </rPr>
          <t>Laurence Smith:</t>
        </r>
        <r>
          <rPr>
            <sz val="9"/>
            <color indexed="81"/>
            <rFont val="Tahoma"/>
            <family val="2"/>
          </rPr>
          <t xml:space="preserve">
Williams et al. 2006
</t>
        </r>
      </text>
    </comment>
    <comment ref="L435" authorId="0" shapeId="0" xr:uid="{00000000-0006-0000-0200-0000C5000000}">
      <text>
        <r>
          <rPr>
            <b/>
            <sz val="9"/>
            <color indexed="81"/>
            <rFont val="Tahoma"/>
            <family val="2"/>
          </rPr>
          <t>Laurence Smith:</t>
        </r>
        <r>
          <rPr>
            <sz val="9"/>
            <color indexed="81"/>
            <rFont val="Tahoma"/>
            <family val="2"/>
          </rPr>
          <t xml:space="preserve">
Williams et al. 2006</t>
        </r>
      </text>
    </comment>
    <comment ref="L438" authorId="0" shapeId="0" xr:uid="{00000000-0006-0000-0200-0000C6000000}">
      <text>
        <r>
          <rPr>
            <b/>
            <sz val="9"/>
            <color indexed="81"/>
            <rFont val="Tahoma"/>
            <family val="2"/>
          </rPr>
          <t>Laurence Smith:</t>
        </r>
        <r>
          <rPr>
            <sz val="9"/>
            <color indexed="81"/>
            <rFont val="Tahoma"/>
            <family val="2"/>
          </rPr>
          <t xml:space="preserve">
CALU guide to meat goats</t>
        </r>
      </text>
    </comment>
    <comment ref="A460" authorId="0" shapeId="0" xr:uid="{00000000-0006-0000-0200-0000C7000000}">
      <text>
        <r>
          <rPr>
            <b/>
            <sz val="9"/>
            <color indexed="81"/>
            <rFont val="Tahoma"/>
            <family val="2"/>
          </rPr>
          <t>Laurence Smith:</t>
        </r>
        <r>
          <rPr>
            <sz val="9"/>
            <color indexed="81"/>
            <rFont val="Tahoma"/>
            <family val="2"/>
          </rPr>
          <t xml:space="preserve">
Source: Research for Agri Committee - The EU Cattle Sector: Challenges and Opportunities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Laurence Smith</author>
  </authors>
  <commentList>
    <comment ref="A65" authorId="0" shapeId="0" xr:uid="{00000000-0006-0000-0700-000001000000}">
      <text>
        <r>
          <rPr>
            <b/>
            <sz val="9"/>
            <color indexed="81"/>
            <rFont val="Tahoma"/>
            <family val="2"/>
          </rPr>
          <t>Laurence Smith:</t>
        </r>
        <r>
          <rPr>
            <sz val="9"/>
            <color indexed="81"/>
            <rFont val="Tahoma"/>
            <family val="2"/>
          </rPr>
          <t xml:space="preserve">
7.5 MJ/kg value from 
http://www.woodenergy.ie/woodasafuel/listandvaluesofwoodfuelparameters-part1/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catherine.g</author>
  </authors>
  <commentList>
    <comment ref="B114" authorId="0" shapeId="0" xr:uid="{00000000-0006-0000-0A00-000003000000}">
      <text>
        <r>
          <rPr>
            <b/>
            <sz val="8"/>
            <color indexed="81"/>
            <rFont val="Tahoma"/>
            <family val="2"/>
          </rPr>
          <t>catherine.g:</t>
        </r>
        <r>
          <rPr>
            <sz val="8"/>
            <color indexed="81"/>
            <rFont val="Tahoma"/>
            <family val="2"/>
          </rPr>
          <t xml:space="preserve">
only using these values (ie not separating out types of animal further) gives a rough estimate.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catherine.g</author>
  </authors>
  <commentList>
    <comment ref="B198" authorId="0" shapeId="0" xr:uid="{00000000-0006-0000-0C00-000001000000}">
      <text>
        <r>
          <rPr>
            <b/>
            <sz val="8"/>
            <color indexed="81"/>
            <rFont val="Tahoma"/>
            <family val="2"/>
          </rPr>
          <t>catherine.g:</t>
        </r>
        <r>
          <rPr>
            <sz val="8"/>
            <color indexed="81"/>
            <rFont val="Tahoma"/>
            <family val="2"/>
          </rPr>
          <t xml:space="preserve">
note: RSPCA says 10msquared per hen.</t>
        </r>
      </text>
    </comment>
  </commentList>
</comments>
</file>

<file path=xl/sharedStrings.xml><?xml version="1.0" encoding="utf-8"?>
<sst xmlns="http://schemas.openxmlformats.org/spreadsheetml/2006/main" count="3367" uniqueCount="1837">
  <si>
    <t>Score</t>
  </si>
  <si>
    <t>units</t>
  </si>
  <si>
    <t>Historic features</t>
  </si>
  <si>
    <t>Animal Health &amp; Welfare</t>
  </si>
  <si>
    <t>Farm Business Resilience</t>
  </si>
  <si>
    <t>Social Capital</t>
  </si>
  <si>
    <t>How many staff do you employ?</t>
  </si>
  <si>
    <t>Casual?</t>
  </si>
  <si>
    <t>Long term?</t>
  </si>
  <si>
    <t>How many training days have staff had per year in total</t>
  </si>
  <si>
    <t>Employment</t>
  </si>
  <si>
    <t>Skills and knowledge</t>
  </si>
  <si>
    <t>Public access</t>
  </si>
  <si>
    <t>How much access do you provide? None, partial, open</t>
  </si>
  <si>
    <t>Do you maintain areas of public access? Yes/No</t>
  </si>
  <si>
    <t>Do you promote public access? Yes/No</t>
  </si>
  <si>
    <t>Management of boundaries</t>
  </si>
  <si>
    <t>Financial viability</t>
  </si>
  <si>
    <t>Farm resilience</t>
  </si>
  <si>
    <t>Staff resources</t>
  </si>
  <si>
    <t>Health plan</t>
  </si>
  <si>
    <t>Do you have a health plan?</t>
  </si>
  <si>
    <t>Animal health</t>
  </si>
  <si>
    <t>Was your vet involved in drawing it up?</t>
  </si>
  <si>
    <t>Does it include:</t>
  </si>
  <si>
    <t>How much do you spend on veterinary medicines (breakdown if known, total if breakdown is not available)</t>
  </si>
  <si>
    <t>Total</t>
  </si>
  <si>
    <t>Sheep</t>
  </si>
  <si>
    <t>pigs</t>
  </si>
  <si>
    <t>cross compliance</t>
  </si>
  <si>
    <t>none</t>
  </si>
  <si>
    <t>not at all</t>
  </si>
  <si>
    <t>little</t>
  </si>
  <si>
    <t>partially</t>
  </si>
  <si>
    <t>mostly</t>
  </si>
  <si>
    <t>fully</t>
  </si>
  <si>
    <t>Yes</t>
  </si>
  <si>
    <t>No</t>
  </si>
  <si>
    <t>open</t>
  </si>
  <si>
    <t>ha</t>
  </si>
  <si>
    <t>Triticale</t>
  </si>
  <si>
    <t>Potatoes</t>
  </si>
  <si>
    <t>Carrots</t>
  </si>
  <si>
    <t>Onions</t>
  </si>
  <si>
    <t>Glasshouses and polytunnels</t>
  </si>
  <si>
    <t>Fodder beet</t>
  </si>
  <si>
    <t>Sugar beet</t>
  </si>
  <si>
    <t>TP (Temporary Pasture) 3 years +</t>
  </si>
  <si>
    <t>Ponds and watercourses</t>
  </si>
  <si>
    <t>Built-up land including roads</t>
  </si>
  <si>
    <t>Total built-up land</t>
  </si>
  <si>
    <t>Suckler cow</t>
  </si>
  <si>
    <t>Ewes</t>
  </si>
  <si>
    <t>Lambs</t>
  </si>
  <si>
    <t>Hoggets</t>
  </si>
  <si>
    <t>Rams</t>
  </si>
  <si>
    <t>Cutters 35-85</t>
  </si>
  <si>
    <t>Baconer 35-105 kg</t>
  </si>
  <si>
    <t>Gilts</t>
  </si>
  <si>
    <t>Boars</t>
  </si>
  <si>
    <t>Pullets to 18 weeks</t>
  </si>
  <si>
    <t>Table birds</t>
  </si>
  <si>
    <t>Turkeys males</t>
  </si>
  <si>
    <t>Turkeys females</t>
  </si>
  <si>
    <t>Ducks</t>
  </si>
  <si>
    <t>Horses</t>
  </si>
  <si>
    <t>Other</t>
  </si>
  <si>
    <t>Yes and acting on mostly</t>
  </si>
  <si>
    <t>Yes and acting on partly</t>
  </si>
  <si>
    <t>Yes and acting on fully</t>
  </si>
  <si>
    <t>Yes but not acting on yet</t>
  </si>
  <si>
    <t>Don't know</t>
  </si>
  <si>
    <t>N/A</t>
  </si>
  <si>
    <t>Poor</t>
  </si>
  <si>
    <t>Average</t>
  </si>
  <si>
    <t>Soil analysis</t>
  </si>
  <si>
    <t>I test some fields every year to monitor long-term change</t>
  </si>
  <si>
    <t>How often do you undertake soil analysis?</t>
  </si>
  <si>
    <t>Never</t>
  </si>
  <si>
    <t>I test every 5+ years</t>
  </si>
  <si>
    <t>What % of arable land is left bare over the winter?</t>
  </si>
  <si>
    <t>Direct Energy use (MJ)</t>
  </si>
  <si>
    <t>Red diesel</t>
  </si>
  <si>
    <t>Petrol</t>
  </si>
  <si>
    <t>Electricity</t>
  </si>
  <si>
    <t>DERV diesel</t>
  </si>
  <si>
    <t>LPG</t>
  </si>
  <si>
    <t>Heating Oil</t>
  </si>
  <si>
    <t>litres</t>
  </si>
  <si>
    <t>Agricultural Systems Diversity</t>
  </si>
  <si>
    <t>Tractor diesel fuel</t>
  </si>
  <si>
    <t>Vehicle fuel</t>
  </si>
  <si>
    <t>Total energy</t>
  </si>
  <si>
    <t>MJ/ha</t>
  </si>
  <si>
    <t>&lt;250 ha</t>
  </si>
  <si>
    <t>250 - 400 ha</t>
  </si>
  <si>
    <t>&gt; 400 ha</t>
  </si>
  <si>
    <t>Farm fuel</t>
  </si>
  <si>
    <t>Petrol fuel</t>
  </si>
  <si>
    <t>DERV</t>
  </si>
  <si>
    <t>litre/head</t>
  </si>
  <si>
    <t>kWh/head</t>
  </si>
  <si>
    <t>MJ/head</t>
  </si>
  <si>
    <t>per head</t>
  </si>
  <si>
    <t>&lt; 88 head</t>
  </si>
  <si>
    <t>88 - 140 head</t>
  </si>
  <si>
    <t>over 140 head</t>
  </si>
  <si>
    <t>&lt; 1200 head</t>
  </si>
  <si>
    <t>1200 - 2100 head</t>
  </si>
  <si>
    <t>&gt; 2100 head</t>
  </si>
  <si>
    <t>Broiler (Table Meat Birds)</t>
  </si>
  <si>
    <t>&lt; 200,000 birds</t>
  </si>
  <si>
    <t>&gt; 200,000 birds</t>
  </si>
  <si>
    <t>Layers (Egg production)</t>
  </si>
  <si>
    <t>&lt; 75,000 birds</t>
  </si>
  <si>
    <t>&gt; 75,000 birds</t>
  </si>
  <si>
    <t>BEEF AND SHEEP Typical consumption Benchmark</t>
  </si>
  <si>
    <t>DAIRY  Typical consumption Benchmark</t>
  </si>
  <si>
    <t>PIG (Breeding and Finishing) Typical Consumption Benchmark</t>
  </si>
  <si>
    <t>POULTRY  Typical Consumption Benchmark</t>
  </si>
  <si>
    <t>FARM FUEL USE:</t>
  </si>
  <si>
    <t>kWh</t>
  </si>
  <si>
    <t>family labour</t>
  </si>
  <si>
    <t>Lettuce</t>
  </si>
  <si>
    <t>Leeks</t>
  </si>
  <si>
    <t>Celery</t>
  </si>
  <si>
    <t>Cabbages</t>
  </si>
  <si>
    <t>21-40%</t>
  </si>
  <si>
    <t>41-60%</t>
  </si>
  <si>
    <t>61-80%</t>
  </si>
  <si>
    <t>81-100%</t>
  </si>
  <si>
    <t>0-20%</t>
  </si>
  <si>
    <t>Cultivation</t>
  </si>
  <si>
    <t>Grazing</t>
  </si>
  <si>
    <t>Erosion</t>
  </si>
  <si>
    <t>Soil management</t>
  </si>
  <si>
    <t>Arable</t>
  </si>
  <si>
    <t>Beef and sheep</t>
  </si>
  <si>
    <t>Dairy</t>
  </si>
  <si>
    <t>Pig</t>
  </si>
  <si>
    <t>Poultry</t>
  </si>
  <si>
    <t>Kg CO2 emissions</t>
  </si>
  <si>
    <t>MJ</t>
  </si>
  <si>
    <t>Beef sheep</t>
  </si>
  <si>
    <t>MJ/tonne</t>
  </si>
  <si>
    <t>TOTAL:</t>
  </si>
  <si>
    <t>kg CO2/head</t>
  </si>
  <si>
    <t>Pigs</t>
  </si>
  <si>
    <t>kg CO2/'000 litres</t>
  </si>
  <si>
    <t xml:space="preserve">kg CO2/tonne </t>
  </si>
  <si>
    <t>Renewable energy</t>
  </si>
  <si>
    <t>Always</t>
  </si>
  <si>
    <t>Livestock products</t>
  </si>
  <si>
    <t>Arable - cereals</t>
  </si>
  <si>
    <t>Vegetables</t>
  </si>
  <si>
    <t>Broiler litter</t>
  </si>
  <si>
    <t>Layer litter</t>
  </si>
  <si>
    <t>Cattle FYM</t>
  </si>
  <si>
    <t>Green waste compost</t>
  </si>
  <si>
    <t>Pig FYM</t>
  </si>
  <si>
    <t>Sheep FYM</t>
  </si>
  <si>
    <t>Waste food</t>
  </si>
  <si>
    <t>Cumulus K</t>
  </si>
  <si>
    <t>Eggs (dozens)</t>
  </si>
  <si>
    <t xml:space="preserve">Laying hens </t>
  </si>
  <si>
    <t>Grain legume and oilseeds</t>
  </si>
  <si>
    <t>Forage/green manures/leys</t>
  </si>
  <si>
    <t>Rock potash</t>
  </si>
  <si>
    <t>Kali Vinasse</t>
  </si>
  <si>
    <t>Arable - fodder crops</t>
  </si>
  <si>
    <t>N</t>
  </si>
  <si>
    <t>P</t>
  </si>
  <si>
    <t>K</t>
  </si>
  <si>
    <t>Milk (1000s of litres)</t>
  </si>
  <si>
    <t xml:space="preserve">Soil management </t>
  </si>
  <si>
    <t>How diverse is the crop rotation on your farm in terms of numbers of crop types?</t>
  </si>
  <si>
    <t>Mono-culture/no break crops/very intensive</t>
  </si>
  <si>
    <t>Minimal rotation (HGCA, NIAB matrix)</t>
  </si>
  <si>
    <t>Diverse rotation including a minimum of 3 crop types</t>
  </si>
  <si>
    <t>Integrated crop management with extended rotation and linked with livestock enterprises</t>
  </si>
  <si>
    <t>Livestock diversity</t>
  </si>
  <si>
    <t>How diverse is the livestock system on the farm with regard to numbers of species?</t>
  </si>
  <si>
    <t>Scoring methodology</t>
  </si>
  <si>
    <t>Rotational and varietal diversity</t>
  </si>
  <si>
    <t>How diverse is the livestock system on the farm with regard to numbers of breeds?</t>
  </si>
  <si>
    <t>Single species</t>
  </si>
  <si>
    <t>2 species</t>
  </si>
  <si>
    <t>3 species</t>
  </si>
  <si>
    <t>4 species</t>
  </si>
  <si>
    <t>5 + species</t>
  </si>
  <si>
    <t>Dairy Cattle</t>
  </si>
  <si>
    <t>Beef Cattle</t>
  </si>
  <si>
    <t>Other livestock</t>
  </si>
  <si>
    <t>Total number of breeds</t>
  </si>
  <si>
    <t>Marketing outlets</t>
  </si>
  <si>
    <t xml:space="preserve">Through how many outlets do you market your produce? </t>
  </si>
  <si>
    <t>5+</t>
  </si>
  <si>
    <t>No data</t>
  </si>
  <si>
    <t>Forage/green manure/leys</t>
  </si>
  <si>
    <t>Rock phosphate</t>
  </si>
  <si>
    <t>Soya bean meal or cake</t>
  </si>
  <si>
    <t>Rapeseed meal or cake</t>
  </si>
  <si>
    <t>Beans</t>
  </si>
  <si>
    <t>Peas</t>
  </si>
  <si>
    <t>Fishmeal</t>
  </si>
  <si>
    <t>Bran and other offals of wheat</t>
  </si>
  <si>
    <t>Maize gluten (60%)</t>
  </si>
  <si>
    <t>Brewers and distillers grains (wet)</t>
  </si>
  <si>
    <t>Brewers and distillers grains (dry)</t>
  </si>
  <si>
    <t>Hay</t>
  </si>
  <si>
    <t>Dried grass</t>
  </si>
  <si>
    <t>Dried sugar beet pulp (molasses)</t>
  </si>
  <si>
    <t>Pot ale syrup</t>
  </si>
  <si>
    <t>Molasses (sugar cane)</t>
  </si>
  <si>
    <t>Atmospheric deposition</t>
  </si>
  <si>
    <t>ha:</t>
  </si>
  <si>
    <t>Nitrogen fixation</t>
  </si>
  <si>
    <t>Lucerne</t>
  </si>
  <si>
    <t>Field beans</t>
  </si>
  <si>
    <t>Arable straw</t>
  </si>
  <si>
    <t>Activities</t>
  </si>
  <si>
    <t>Explanation/description</t>
  </si>
  <si>
    <t>50-75%</t>
  </si>
  <si>
    <t>75-100%</t>
  </si>
  <si>
    <t>Cropland diversity</t>
  </si>
  <si>
    <t>Marketing</t>
  </si>
  <si>
    <t>I test a few fields every few years</t>
  </si>
  <si>
    <t>On farm processing</t>
  </si>
  <si>
    <t>25-50%</t>
  </si>
  <si>
    <t>1-25%</t>
  </si>
  <si>
    <t>50% plus</t>
  </si>
  <si>
    <t>None</t>
  </si>
  <si>
    <t>Documentation</t>
  </si>
  <si>
    <t>Questions</t>
  </si>
  <si>
    <t>Energy use benchmarks</t>
  </si>
  <si>
    <t>Score in relation to benchmark %</t>
  </si>
  <si>
    <t>Total N,P.K balance</t>
  </si>
  <si>
    <t>Nitrogen</t>
  </si>
  <si>
    <t xml:space="preserve">1-3 crop vars </t>
  </si>
  <si>
    <t xml:space="preserve">3-6 crop vars </t>
  </si>
  <si>
    <t xml:space="preserve">7-10 crop vars </t>
  </si>
  <si>
    <t xml:space="preserve">10-15 crop vars </t>
  </si>
  <si>
    <t xml:space="preserve">15+ crop vars </t>
  </si>
  <si>
    <t>Examples include: Farm shops, multiple retailers (supermarkets), Wholesale, public procurement (schools etc), other outlets</t>
  </si>
  <si>
    <t xml:space="preserve">On what percentage of your land are you implementing cultivation that reduces risk of erosion? </t>
  </si>
  <si>
    <t>e.g: minimum tillage and contour ploughing</t>
  </si>
  <si>
    <t>Total MJ energy use by area:</t>
  </si>
  <si>
    <t>Energy ratio</t>
  </si>
  <si>
    <t>no data</t>
  </si>
  <si>
    <t>MJ exported</t>
  </si>
  <si>
    <t>Poultry - meat</t>
  </si>
  <si>
    <t>Poultry - eggs</t>
  </si>
  <si>
    <t>Landscape and heritage</t>
  </si>
  <si>
    <t>The presence of features which are cared for and in good condition gives a high score. If such features are absent then this area is not included in the overall score.</t>
  </si>
  <si>
    <t>If there are, how much maintenance/care do you give them? None, little, some, much</t>
  </si>
  <si>
    <t>some</t>
  </si>
  <si>
    <t>Are there historic features present on the farm?</t>
  </si>
  <si>
    <t>no score</t>
  </si>
  <si>
    <t>much</t>
  </si>
  <si>
    <t>n/a</t>
  </si>
  <si>
    <t>no</t>
  </si>
  <si>
    <t>%</t>
  </si>
  <si>
    <t>Higher levels of employment score more highly</t>
  </si>
  <si>
    <t>Provision of training days scores higher</t>
  </si>
  <si>
    <t>Providing public access scores highly</t>
  </si>
  <si>
    <t>website</t>
  </si>
  <si>
    <t>farm shop</t>
  </si>
  <si>
    <t xml:space="preserve">The ALU per 100Ha are compared to the figures from a recent paper on labour use (listed below). </t>
  </si>
  <si>
    <t>&lt;80%</t>
  </si>
  <si>
    <t>80-120%</t>
  </si>
  <si>
    <t>&gt;120%</t>
  </si>
  <si>
    <t>results are averaged and taken to nearest whole number to give total score for public access</t>
  </si>
  <si>
    <t>Standard man days (from The John Nix Farm Management Handbook 2010 p177-178)</t>
  </si>
  <si>
    <t>livestock</t>
  </si>
  <si>
    <t>SMDs per head</t>
  </si>
  <si>
    <t>SMDs for farm</t>
  </si>
  <si>
    <t>number of FTEs indicated</t>
  </si>
  <si>
    <t>dairy cows</t>
  </si>
  <si>
    <t>beef cows</t>
  </si>
  <si>
    <t>ewes</t>
  </si>
  <si>
    <t>sows</t>
  </si>
  <si>
    <t>laying birds</t>
  </si>
  <si>
    <t>Crop</t>
  </si>
  <si>
    <t>SMDs per hectare</t>
  </si>
  <si>
    <t>barley</t>
  </si>
  <si>
    <t>maincrop potatoes</t>
  </si>
  <si>
    <t>sugar beet</t>
  </si>
  <si>
    <t>grazing</t>
  </si>
  <si>
    <t>set-aside/fallow</t>
  </si>
  <si>
    <t>number of employees needed on farm per standard data (rough estimate)</t>
  </si>
  <si>
    <t>percentage</t>
  </si>
  <si>
    <t>family use as percent of total</t>
  </si>
  <si>
    <t>If prices received are above average and considered by the farmer to be fair then a higher score is obtained</t>
  </si>
  <si>
    <t>all</t>
  </si>
  <si>
    <t>number</t>
  </si>
  <si>
    <t>When did you last review the state of your business? Within the last 6 months, last year, 2 years ago, longer than that.</t>
  </si>
  <si>
    <t>How is your farm doing? Struggling, surviving, making a reasonable living, booming</t>
  </si>
  <si>
    <t>surviving</t>
  </si>
  <si>
    <t>Do you expect to still be in business next year?</t>
  </si>
  <si>
    <t>Have you been able to carry out the investment you would like? Some, about half, most, all</t>
  </si>
  <si>
    <t>about half</t>
  </si>
  <si>
    <t>most</t>
  </si>
  <si>
    <t>How many sources of income do you have?</t>
  </si>
  <si>
    <t>3 to 4</t>
  </si>
  <si>
    <t>5 to 6</t>
  </si>
  <si>
    <t>&gt;6</t>
  </si>
  <si>
    <t>longer</t>
  </si>
  <si>
    <t>Struggling</t>
  </si>
  <si>
    <t>making a reasonable living</t>
  </si>
  <si>
    <t>booming</t>
  </si>
  <si>
    <t>Sources of income</t>
  </si>
  <si>
    <t>farmers' market</t>
  </si>
  <si>
    <t>mail order</t>
  </si>
  <si>
    <t>farmers' co-operative</t>
  </si>
  <si>
    <t>other merchants</t>
  </si>
  <si>
    <t>local mart</t>
  </si>
  <si>
    <t>grants</t>
  </si>
  <si>
    <t>Having higher numbers of staff available per head of livestock and more frequent checks on livestock score higher</t>
  </si>
  <si>
    <t>Number of labour units (FTEs) looking after livestock?</t>
  </si>
  <si>
    <t>Having a comprehensive health plan, put together with the help of a vet/consultant obtains a higher score</t>
  </si>
  <si>
    <t>How often per day are livestock inspected for signs of illness/injury? Irregularly,  once, 2-3 times, 4-5 times, &gt;5 times</t>
  </si>
  <si>
    <t>2-3 times</t>
  </si>
  <si>
    <t>Having low veterinary medical spend for treatment gives a high score</t>
  </si>
  <si>
    <t>Drawn up</t>
  </si>
  <si>
    <t>Was your vet/external consultant involved in drawing it up?</t>
  </si>
  <si>
    <t>dairy cattle</t>
  </si>
  <si>
    <t>beef cattle</t>
  </si>
  <si>
    <t>80% or less</t>
  </si>
  <si>
    <t>ratio&lt;0.8</t>
  </si>
  <si>
    <t>r0.8&lt;ratio&lt;1.2</t>
  </si>
  <si>
    <t>ratio&gt;1.2</t>
  </si>
  <si>
    <t>irregularly</t>
  </si>
  <si>
    <t>once</t>
  </si>
  <si>
    <t>4-5 times</t>
  </si>
  <si>
    <t>&gt;5 times</t>
  </si>
  <si>
    <t>Regularly reviewed</t>
  </si>
  <si>
    <t>No/don't have one</t>
  </si>
  <si>
    <r>
      <t>area required (m</t>
    </r>
    <r>
      <rPr>
        <b/>
        <vertAlign val="superscript"/>
        <sz val="11"/>
        <color theme="1"/>
        <rFont val="Calibri"/>
        <family val="2"/>
        <scheme val="minor"/>
      </rPr>
      <t>2</t>
    </r>
    <r>
      <rPr>
        <b/>
        <sz val="11"/>
        <color theme="1"/>
        <rFont val="Calibri"/>
        <family val="2"/>
        <scheme val="minor"/>
      </rPr>
      <t>/head)</t>
    </r>
  </si>
  <si>
    <t>beef cattle &lt;100</t>
  </si>
  <si>
    <t>beef cattle 100-200</t>
  </si>
  <si>
    <t>beef cattle 200-350</t>
  </si>
  <si>
    <t>beef cattle over 350</t>
  </si>
  <si>
    <t>sheep</t>
  </si>
  <si>
    <t>lambs</t>
  </si>
  <si>
    <t>sows with pigs</t>
  </si>
  <si>
    <t>fattening pigs (85-110)</t>
  </si>
  <si>
    <t>laying hens</t>
  </si>
  <si>
    <t>table chickens</t>
  </si>
  <si>
    <t>Spur</t>
  </si>
  <si>
    <t>Landscape and heritage features</t>
  </si>
  <si>
    <t>Energy and carbon</t>
  </si>
  <si>
    <t>Agricultural systems diversity</t>
  </si>
  <si>
    <t>Social capital</t>
  </si>
  <si>
    <t>Farm business resilience</t>
  </si>
  <si>
    <t>Spurs</t>
  </si>
  <si>
    <t>What % of cropped arable land (not including pasture) is harvested before the 1st of October?</t>
  </si>
  <si>
    <t>Ratio  OUT:IN</t>
  </si>
  <si>
    <t xml:space="preserve">Score according to extent of ratio: </t>
  </si>
  <si>
    <t>Greenhouse gases</t>
  </si>
  <si>
    <t>1-20%</t>
  </si>
  <si>
    <t>Are you taking action to restore boundary features (e.g earth banks, stone faced walls)? No, partly/infrequently, regularly/frequently</t>
  </si>
  <si>
    <t>A high score can be obtained either if hedges have no gaps or if gaps are filled with native species and if other boundaries are managed frequently</t>
  </si>
  <si>
    <t xml:space="preserve">Dairy Cow </t>
  </si>
  <si>
    <t>Winter grazing</t>
  </si>
  <si>
    <t xml:space="preserve">Do process on farm products? </t>
  </si>
  <si>
    <t>How much access do they have to grazing on a daily basis? 24 hour access, kept in for short periods, kept in overnight, allowed access to grazing for shorter periods</t>
  </si>
  <si>
    <t>don't restrict</t>
  </si>
  <si>
    <t>keep in during very severe weather</t>
  </si>
  <si>
    <t>24 hour access</t>
  </si>
  <si>
    <t>kept in for short periods</t>
  </si>
  <si>
    <t>kept in overnight</t>
  </si>
  <si>
    <t>access to grazing for shorter periods</t>
  </si>
  <si>
    <t>Housing</t>
  </si>
  <si>
    <t>Low stocking densities and free access to grazing obtain a high score</t>
  </si>
  <si>
    <t>Good quality housing gives a high score</t>
  </si>
  <si>
    <t>How is the housing designed?</t>
  </si>
  <si>
    <t>Are feed and water positioned to minimise the risk of contamination?</t>
  </si>
  <si>
    <t>partly / infrequently</t>
  </si>
  <si>
    <t>regularly / frequently</t>
  </si>
  <si>
    <t>Give access to an exercise yard in severe weather</t>
  </si>
  <si>
    <t>restrict during the whole winter</t>
  </si>
  <si>
    <t>No access</t>
  </si>
  <si>
    <t>How do you judge your animals' ability to perform natural behaviour?</t>
  </si>
  <si>
    <t>feeding</t>
  </si>
  <si>
    <t>resting</t>
  </si>
  <si>
    <t>social/comfort</t>
  </si>
  <si>
    <t>fully able to</t>
  </si>
  <si>
    <t>somewhat restricted</t>
  </si>
  <si>
    <t>unable to do so</t>
  </si>
  <si>
    <t>in need of upgrade</t>
  </si>
  <si>
    <t xml:space="preserve">How is the housing designed? </t>
  </si>
  <si>
    <t>MJ imported</t>
  </si>
  <si>
    <t>Yield - 1 unit: LW tonnes</t>
  </si>
  <si>
    <t>Table swedes</t>
  </si>
  <si>
    <t xml:space="preserve">Cauliflower </t>
  </si>
  <si>
    <t>Calabrese</t>
  </si>
  <si>
    <t>Peas - dry</t>
  </si>
  <si>
    <t>N kg/tonne</t>
  </si>
  <si>
    <t>P kg/tonne</t>
  </si>
  <si>
    <t>K kg/tonne</t>
  </si>
  <si>
    <t>Barley</t>
  </si>
  <si>
    <t>Oats</t>
  </si>
  <si>
    <t>Rye</t>
  </si>
  <si>
    <t>Grass/clover</t>
  </si>
  <si>
    <t>MSL - K</t>
  </si>
  <si>
    <t xml:space="preserve">Sows </t>
  </si>
  <si>
    <t>Weaners 3.5 weeks</t>
  </si>
  <si>
    <t>Growers 7.5 weeks</t>
  </si>
  <si>
    <t>Wool (tonnes)</t>
  </si>
  <si>
    <t>Grass and clover silage</t>
  </si>
  <si>
    <t>Grass silage</t>
  </si>
  <si>
    <t>Lucerne silage</t>
  </si>
  <si>
    <t>Maize silage</t>
  </si>
  <si>
    <t xml:space="preserve">N </t>
  </si>
  <si>
    <t>IN</t>
  </si>
  <si>
    <t>OUT</t>
  </si>
  <si>
    <t>Livestock purchases and sales</t>
  </si>
  <si>
    <t>Arable crops and field vegetables</t>
  </si>
  <si>
    <t>per ha</t>
  </si>
  <si>
    <t>Exported yield LW tonnes</t>
  </si>
  <si>
    <t>average</t>
  </si>
  <si>
    <t>Heavy loss</t>
  </si>
  <si>
    <t>Slight loss</t>
  </si>
  <si>
    <t>Maintaining levels</t>
  </si>
  <si>
    <t>Slight gain</t>
  </si>
  <si>
    <t>Large gain</t>
  </si>
  <si>
    <t>Are you increasing, decreasing or maintaining Soil Organic Matter levels?</t>
  </si>
  <si>
    <t>How much damage is done to the land over winter from grazing livestock?</t>
  </si>
  <si>
    <t>Significant amount</t>
  </si>
  <si>
    <t>Large amount</t>
  </si>
  <si>
    <t>Partial damage spread over a wide area of land</t>
  </si>
  <si>
    <t xml:space="preserve">Little damage </t>
  </si>
  <si>
    <t>1-10%</t>
  </si>
  <si>
    <t>10-20%</t>
  </si>
  <si>
    <t>20-30%</t>
  </si>
  <si>
    <t>40-50%+</t>
  </si>
  <si>
    <t>Potassium</t>
  </si>
  <si>
    <t>Phosphorus</t>
  </si>
  <si>
    <t>litres of diesel</t>
  </si>
  <si>
    <t xml:space="preserve">Arable </t>
  </si>
  <si>
    <t>MJ - total including contractors</t>
  </si>
  <si>
    <t>Kg CO2 - total including contractors</t>
  </si>
  <si>
    <t>Horticulture</t>
  </si>
  <si>
    <t>Wheat - feed</t>
  </si>
  <si>
    <t>Wheat - milling</t>
  </si>
  <si>
    <t>NPK balance</t>
  </si>
  <si>
    <t>Benchmarking</t>
  </si>
  <si>
    <t>On-farm processing</t>
  </si>
  <si>
    <t>Do you outwinter livestock?</t>
  </si>
  <si>
    <t>Other non agricultural land</t>
  </si>
  <si>
    <t>Onion sets</t>
  </si>
  <si>
    <t>Other seeds</t>
  </si>
  <si>
    <t>Other animal feeds - forage</t>
  </si>
  <si>
    <t>Other animal feeds - energy</t>
  </si>
  <si>
    <t>Are your stock-people trained?</t>
  </si>
  <si>
    <t>Are your stockpeople trained?</t>
  </si>
  <si>
    <t>Market garden - one third fertility building</t>
  </si>
  <si>
    <t>Market garden - full production</t>
  </si>
  <si>
    <t>Urea</t>
  </si>
  <si>
    <t>Biosecurity</t>
  </si>
  <si>
    <t>Having a biosecurity plan in place and acted upon gives a high score</t>
  </si>
  <si>
    <t>Closed farm</t>
  </si>
  <si>
    <t>How do you deal with new livestock coming on to your farm?</t>
  </si>
  <si>
    <t>Have a plan and measures in place</t>
  </si>
  <si>
    <t>Do you have a biosecurity plan and disease control measures in place?</t>
  </si>
  <si>
    <t>Have a plan but haven't acted on it yet</t>
  </si>
  <si>
    <t>No plan</t>
  </si>
  <si>
    <t>Full quarantine procedures</t>
  </si>
  <si>
    <t>Keep them separate for a few days</t>
  </si>
  <si>
    <t>No controls</t>
  </si>
  <si>
    <t>How would you describe the mortality/culling rates on your farm?</t>
  </si>
  <si>
    <t>below average</t>
  </si>
  <si>
    <t>above average</t>
  </si>
  <si>
    <t>What management methods do you use to reduce parasite burdens while minimising the use of anthelmintics?</t>
  </si>
  <si>
    <t>none, use anthelmintics routinely</t>
  </si>
  <si>
    <t>one of clean grazing/faecal egg counts</t>
  </si>
  <si>
    <t xml:space="preserve">clean grazing, faecal egg counts, including natural anthelmintics in pasture (eg sainfoin, birdsfoot trefoil). </t>
  </si>
  <si>
    <t>Yes, to a high level</t>
  </si>
  <si>
    <t>Yes, to an average level</t>
  </si>
  <si>
    <t>How do you judge your animals' ability to perform natural behaviours - feeding, resting, social/comfort</t>
  </si>
  <si>
    <t>kg</t>
  </si>
  <si>
    <t>Balance</t>
  </si>
  <si>
    <t>Farm gate NPK budget</t>
  </si>
  <si>
    <t>LAYERS   FARM FUEL USE:</t>
  </si>
  <si>
    <t>BROILERS   FARM FUEL USE:</t>
  </si>
  <si>
    <t>of benchmark</t>
  </si>
  <si>
    <t xml:space="preserve">Other fertilisers </t>
  </si>
  <si>
    <t xml:space="preserve">Other fertilisers  </t>
  </si>
  <si>
    <t xml:space="preserve">Own fuel use </t>
  </si>
  <si>
    <t>Light purple boxes: calculated scores for sub-spurs</t>
  </si>
  <si>
    <t>Do you consider disease prevention in breed/ breeding stock selection?</t>
  </si>
  <si>
    <t>Sometimes</t>
  </si>
  <si>
    <t>Using standard man hours per types of livestock (listed on social capital worksheet and sourced from the John Nix Farm Management Handbook for 2010) a calculation is made of how many FTEs handling livestock might be expected for the farm and compared to the actual number</t>
  </si>
  <si>
    <t>Energy content and Kg CO2 taken from CALU 'Managing Energy and Carbon' and DUKES and Carbon Trust Energy and Carbon Conversion charts</t>
  </si>
  <si>
    <t>Do you consider disease prevention in breed/ breeding stock selection (this may include considering rare/traditional breeds suited to your area of the country)?</t>
  </si>
  <si>
    <t>How would you describe mastitis incidence in your herd (n/a of you do not have a dairy herd)</t>
  </si>
  <si>
    <t xml:space="preserve">Do you restrict grazing/outdoor access at certain times of year (for any species)? </t>
  </si>
  <si>
    <t>Apples - dessert</t>
  </si>
  <si>
    <t>Apples - culinary</t>
  </si>
  <si>
    <t>Strawberries</t>
  </si>
  <si>
    <t>Pears</t>
  </si>
  <si>
    <t>Raspberries</t>
  </si>
  <si>
    <t>Blackcurrants</t>
  </si>
  <si>
    <t>Gooseberries</t>
  </si>
  <si>
    <t>Is there any poaching  over winter?</t>
  </si>
  <si>
    <t>Phosphorus should show a surplus of close to zero, long term depletion of P and K should be avoided where possible</t>
  </si>
  <si>
    <t>Potassium should show a surplus of close to zero, long term depletion of P and K should be avoided where possible</t>
  </si>
  <si>
    <t>Green boxes: overall score for spur</t>
  </si>
  <si>
    <t>TP (Temporary Pasture) 2nd year</t>
  </si>
  <si>
    <t>TP (Temporary Pasture) 1st year</t>
  </si>
  <si>
    <t>TP (Temporary Pasture) 3rd year +</t>
  </si>
  <si>
    <t>&lt;10 clinical cases per 100 cows per year</t>
  </si>
  <si>
    <t>10-25 clinical cases per 100 cows per year</t>
  </si>
  <si>
    <t>25-35 clinical cases per 100 cows per year</t>
  </si>
  <si>
    <t>35-50 clinical cases per 100 cows per year</t>
  </si>
  <si>
    <t>&gt;50 clinical cases per 100 cows per year</t>
  </si>
  <si>
    <t>restrict during the summer</t>
  </si>
  <si>
    <t>Do you restrict grazing at certain times of year? Don't restrict, Give access to an exercise yard in severe weather, keep in during very severe weather, restrict during the winter, restrict during the summer</t>
  </si>
  <si>
    <t>yes</t>
  </si>
  <si>
    <t>within 6 months</t>
  </si>
  <si>
    <t>yearly</t>
  </si>
  <si>
    <t>every 2 years</t>
  </si>
  <si>
    <t>Have you completed a Soil Protection Review and are you acting on it?</t>
  </si>
  <si>
    <t>Measures taken to reduce the risk of erosion</t>
  </si>
  <si>
    <t>Human health issues</t>
  </si>
  <si>
    <t>How rigorously is health and safety enforced on the farm?</t>
  </si>
  <si>
    <t>How is the working atmosphere at your farm?</t>
  </si>
  <si>
    <t>How rigorously is health and safety enforced on the farm? ie: how much training and/or risk assessment is provided</t>
  </si>
  <si>
    <t>Full attention and proper training given</t>
  </si>
  <si>
    <t>Some attention and proper training given</t>
  </si>
  <si>
    <t>Little attention and proper training given</t>
  </si>
  <si>
    <t>&lt;1</t>
  </si>
  <si>
    <t>&gt;=4</t>
  </si>
  <si>
    <t>good quality</t>
  </si>
  <si>
    <t>first rate</t>
  </si>
  <si>
    <t>LU</t>
  </si>
  <si>
    <t>Horse</t>
  </si>
  <si>
    <t>Litres</t>
  </si>
  <si>
    <t>Contractor operations - under 100HP</t>
  </si>
  <si>
    <t>hours</t>
  </si>
  <si>
    <t>Contractor operations - 100-150 HP</t>
  </si>
  <si>
    <t>Contractor operations - 150-200 HP</t>
  </si>
  <si>
    <t>Contractor operations - 200-250 HP</t>
  </si>
  <si>
    <t>Contractor operations - over 250 HP</t>
  </si>
  <si>
    <t>Whole crop - stubble to stubble</t>
  </si>
  <si>
    <t>Contractor - Combine harvesting</t>
  </si>
  <si>
    <t>TOTAL contractors</t>
  </si>
  <si>
    <t xml:space="preserve">kgCO2 </t>
  </si>
  <si>
    <t>Under 100 HP</t>
  </si>
  <si>
    <t>100-150HP</t>
  </si>
  <si>
    <t>150-200 HP</t>
  </si>
  <si>
    <t>200-250 HP</t>
  </si>
  <si>
    <t>Stubble to stubble</t>
  </si>
  <si>
    <t>Combine harvesting</t>
  </si>
  <si>
    <t xml:space="preserve">Poultry - eggs </t>
  </si>
  <si>
    <t>Contractor energy use by enterprise</t>
  </si>
  <si>
    <t>100 % ?</t>
  </si>
  <si>
    <t>Ability to perform natural behaviours</t>
  </si>
  <si>
    <t xml:space="preserve">How much access do they have to grazing/outdoors on a daily basis during times of year when they are not kept in? </t>
  </si>
  <si>
    <t>Mains gas</t>
  </si>
  <si>
    <r>
      <t>m</t>
    </r>
    <r>
      <rPr>
        <sz val="8"/>
        <rFont val="Arial"/>
        <family val="2"/>
      </rPr>
      <t>3</t>
    </r>
  </si>
  <si>
    <t>Mains gas (10.9 kWh per m3)</t>
  </si>
  <si>
    <t xml:space="preserve">           </t>
  </si>
  <si>
    <t>Dairy Heifer (in calf)</t>
  </si>
  <si>
    <t>Breeding bull</t>
  </si>
  <si>
    <t>Propane/LPG - bottled</t>
  </si>
  <si>
    <t>What % of arable land is left as bare ground (e.g: over winter stubble without a cover crop) over the winter?</t>
  </si>
  <si>
    <t>1 breed</t>
  </si>
  <si>
    <t>2 breeds</t>
  </si>
  <si>
    <t>3 breeds</t>
  </si>
  <si>
    <t>4 breeds</t>
  </si>
  <si>
    <t>5+ breeds</t>
  </si>
  <si>
    <t>If a high score is obtained for permanent staff then it over-rules lower scores for casual.</t>
  </si>
  <si>
    <t>public</t>
  </si>
  <si>
    <t>permissive</t>
  </si>
  <si>
    <t>How have your net assets (total assets less total liabilities) changed in the last year?</t>
  </si>
  <si>
    <t>increased by over 5%</t>
  </si>
  <si>
    <t>increase of less than 5%</t>
  </si>
  <si>
    <t>not much change from previous year</t>
  </si>
  <si>
    <t>decrease of less than 5%</t>
  </si>
  <si>
    <t>decrease of more than 5%</t>
  </si>
  <si>
    <t>Do you expect your farm to still be farmed in the next decade?</t>
  </si>
  <si>
    <t>Yes, worked closely with them</t>
  </si>
  <si>
    <t>Yes, they drew it up with no input from farm staff</t>
  </si>
  <si>
    <t>Grey boxes: calculated inputs</t>
  </si>
  <si>
    <t>Beetroot</t>
  </si>
  <si>
    <t>The ideal surplus for N should be around 30kg N/ha/year.  Surpluses significantly greater than 30kg of N per hectare per year may indicate that the farm is at pollution risk</t>
  </si>
  <si>
    <t>Score for large deficit on phosphorus rich soil may be higher</t>
  </si>
  <si>
    <t>Score for large deficit on potash rich soil may be higher</t>
  </si>
  <si>
    <t>kg CO2 emission</t>
  </si>
  <si>
    <t>MJ/'000 litres</t>
  </si>
  <si>
    <t>Lower levels of pesticide exposure, higher awareness of health and safety and job satisfaction scores highly</t>
  </si>
  <si>
    <t>How well qualified are your staff? (by experience and/or courses/ certification)</t>
  </si>
  <si>
    <t>How would you describe the working environment at your farm?</t>
  </si>
  <si>
    <t>Positive</t>
  </si>
  <si>
    <t>Having sufficient money for investments, having several sources of income, feeling that the farm is doing well and planning to remain in business contribute towards a higher score.</t>
  </si>
  <si>
    <t>Do you have RSPCA "freedom foods" certification or Organic certification?</t>
  </si>
  <si>
    <t>Do you have RSPCA "freedom foods" certification</t>
  </si>
  <si>
    <t>Farm name</t>
  </si>
  <si>
    <t>Mixed cereals/grain</t>
  </si>
  <si>
    <t>Own farm or tenant farmer?</t>
  </si>
  <si>
    <t>How diverse is the livestock system on the farm with regard to numbers of breeds/crossbreeds?</t>
  </si>
  <si>
    <t>Moorland</t>
  </si>
  <si>
    <t>Miscanthus</t>
  </si>
  <si>
    <t>Vegetable seeds</t>
  </si>
  <si>
    <t>Whole crop - cereal</t>
  </si>
  <si>
    <t>Whole crop - cereal/pulse</t>
  </si>
  <si>
    <t xml:space="preserve">Wheat </t>
  </si>
  <si>
    <t>&lt;10 cases per 100 animals</t>
  </si>
  <si>
    <t>10-20 cases per 100 animals</t>
  </si>
  <si>
    <t>20-30 cases per 100 animals</t>
  </si>
  <si>
    <t>30-40 cases per 100 animals</t>
  </si>
  <si>
    <t>&gt;40 cases per 100 animals</t>
  </si>
  <si>
    <t>owner occupier</t>
  </si>
  <si>
    <t>successional tenant</t>
  </si>
  <si>
    <t>FBT&gt;5years</t>
  </si>
  <si>
    <t>FBT&lt;=5 years</t>
  </si>
  <si>
    <t>short term let (&lt; 12 months)</t>
  </si>
  <si>
    <t>other (please specify)</t>
  </si>
  <si>
    <t>Plums</t>
  </si>
  <si>
    <t>Cherries</t>
  </si>
  <si>
    <t>Other fruit</t>
  </si>
  <si>
    <t>Sewage sludge / biosolids</t>
  </si>
  <si>
    <t>Digested liquid</t>
  </si>
  <si>
    <t>Digested cake</t>
  </si>
  <si>
    <t>Thermally dried</t>
  </si>
  <si>
    <t>Lime stabilised</t>
  </si>
  <si>
    <t>Organic manures and slurries</t>
  </si>
  <si>
    <t>Duck FYM</t>
  </si>
  <si>
    <r>
      <t xml:space="preserve">Beef cattle slurry - </t>
    </r>
    <r>
      <rPr>
        <b/>
        <i/>
        <sz val="10"/>
        <rFont val="Arial"/>
        <family val="2"/>
      </rPr>
      <t>please enter cubic metres</t>
    </r>
  </si>
  <si>
    <r>
      <t>Pig slurry -</t>
    </r>
    <r>
      <rPr>
        <b/>
        <i/>
        <sz val="10"/>
        <rFont val="Arial"/>
        <family val="2"/>
      </rPr>
      <t xml:space="preserve"> please enter cubic metres</t>
    </r>
  </si>
  <si>
    <r>
      <t xml:space="preserve">Dirty water - </t>
    </r>
    <r>
      <rPr>
        <b/>
        <i/>
        <sz val="10"/>
        <rFont val="Arial"/>
        <family val="2"/>
      </rPr>
      <t>please enter cubic metres</t>
    </r>
  </si>
  <si>
    <t>mm</t>
  </si>
  <si>
    <t>Patent Kali</t>
  </si>
  <si>
    <t>Dairy cull calf 0-3 months</t>
  </si>
  <si>
    <t>Arable crops</t>
  </si>
  <si>
    <t>Forage</t>
  </si>
  <si>
    <t>Energy crops</t>
  </si>
  <si>
    <t>Other land</t>
  </si>
  <si>
    <t>Whole crop - pulse</t>
  </si>
  <si>
    <t>Milk powder</t>
  </si>
  <si>
    <t>Number of years since organic conversion started</t>
  </si>
  <si>
    <t>Number of years fully organic</t>
  </si>
  <si>
    <t>Summary of land use</t>
  </si>
  <si>
    <t>Electricity*</t>
  </si>
  <si>
    <t>flowers under glass</t>
  </si>
  <si>
    <t>Vegetables under glass</t>
  </si>
  <si>
    <t>Top fruit</t>
  </si>
  <si>
    <t>Outdoor vegetables and salad</t>
  </si>
  <si>
    <t>HNS</t>
  </si>
  <si>
    <t>Fodder</t>
  </si>
  <si>
    <t>Rough</t>
  </si>
  <si>
    <t>Grassland</t>
  </si>
  <si>
    <t>110  Under glass</t>
  </si>
  <si>
    <t>110  Outdoor market garden</t>
  </si>
  <si>
    <t>col7</t>
  </si>
  <si>
    <t>col 6</t>
  </si>
  <si>
    <t>Non FBS types (incl. Specialist horses 'MT.23')</t>
  </si>
  <si>
    <t>Non-classifiable holdings -other</t>
  </si>
  <si>
    <t>Non-classifiable holdings -fallow</t>
  </si>
  <si>
    <t>Specialist horses</t>
  </si>
  <si>
    <t>Specialist grass and forage</t>
  </si>
  <si>
    <t>Specialist set-aside</t>
  </si>
  <si>
    <t>Mixed livestock</t>
  </si>
  <si>
    <t>Cropping and mixed livestock</t>
  </si>
  <si>
    <t>Cropping, pigs and poultry</t>
  </si>
  <si>
    <t>Cropping, cattle and sheep</t>
  </si>
  <si>
    <t>Cropping and dairy</t>
  </si>
  <si>
    <t>Mixed</t>
  </si>
  <si>
    <t>Lowland cattle and sheep</t>
  </si>
  <si>
    <t>Grazing livestock (Lowland)</t>
  </si>
  <si>
    <t>Upland cattle and sheep</t>
  </si>
  <si>
    <t>Grazing livestock (DA)</t>
  </si>
  <si>
    <t>Hill cattle and sheep</t>
  </si>
  <si>
    <t>Grazing livestock (SDA)</t>
  </si>
  <si>
    <t>Hill cattle</t>
  </si>
  <si>
    <t>Specialist sheep</t>
  </si>
  <si>
    <t>Hill sheep</t>
  </si>
  <si>
    <t>Dairy (Lowland)</t>
  </si>
  <si>
    <t>Lowland dairy</t>
  </si>
  <si>
    <t>Dairy (LFA)</t>
  </si>
  <si>
    <t>Hill and upland dairy</t>
  </si>
  <si>
    <t>Specialist poultry</t>
  </si>
  <si>
    <t>Specialist pigs</t>
  </si>
  <si>
    <t>Other horticulture</t>
  </si>
  <si>
    <t>Specialist hardy nursery stock</t>
  </si>
  <si>
    <t>Specialist hardy nurserystock</t>
  </si>
  <si>
    <t>Specialist glasshouse</t>
  </si>
  <si>
    <t>Specialist glass</t>
  </si>
  <si>
    <t>Specialist fruit</t>
  </si>
  <si>
    <t>General cropping</t>
  </si>
  <si>
    <t>Cereals</t>
  </si>
  <si>
    <t>SO TYPE</t>
  </si>
  <si>
    <t>SGM TYPE</t>
  </si>
  <si>
    <t>Class 8230 excluding class 8231</t>
  </si>
  <si>
    <t>J18 &gt; 2/3</t>
  </si>
  <si>
    <t>109  Under glass</t>
  </si>
  <si>
    <t>Class 8000 excluding class 8100</t>
  </si>
  <si>
    <t>109  Outdoor market garden</t>
  </si>
  <si>
    <t>P4 &gt; 1/3; P1 &gt; 1/3; P4 &gt;= P1; excluding classes 8110, 8120</t>
  </si>
  <si>
    <t>P1 &gt; 1/3; P4 &gt;1/3; P1 &gt; P4; excluding class 8110</t>
  </si>
  <si>
    <t>P1 &gt; 1/3; P4 &gt; 1/3</t>
  </si>
  <si>
    <t xml:space="preserve">       244,246,248</t>
  </si>
  <si>
    <t>Holdings not in classes 1000 - 7000</t>
  </si>
  <si>
    <t>XX 190-210,212-216,219-222,230,232,236-242</t>
  </si>
  <si>
    <t>P5 &gt; 1/3; P5 &lt;= 2/3; P1 &lt;=1/3; P2 &lt;= 1/3; P3 &lt;= 1/3</t>
  </si>
  <si>
    <t>X    131-181,217,218,231,233-235,250-264</t>
  </si>
  <si>
    <t>Class 7100 excluding class 7110</t>
  </si>
  <si>
    <t>P4 &gt; 1/3; P4 &lt;= 2/3;  P1 &lt;= 1/3; P3 &lt;= 1/3; P5 &lt;= 1/3</t>
  </si>
  <si>
    <t>#  basic area</t>
  </si>
  <si>
    <t>P4 &gt; 1/3; P4 &lt;= 2/3; P1 &lt;= 1/3; P2 &lt;= 1/3; P3&lt;= 1/3 or P5 &gt; 1/3; P5 &lt;= 2/3; P1 &lt;= 1/3; P2 &lt;= 1/3; P3 &lt;= 1/3</t>
  </si>
  <si>
    <t>P1 &lt;= 1/3; P2 &lt;= 1/3; P3 &gt; 1/3; P3 &lt;= 2/3; P4 &lt;= 1/3; P5 &lt;= 1/3</t>
  </si>
  <si>
    <t>422</t>
  </si>
  <si>
    <t>P1 &lt;= 1/3; P2 &gt; 1/3; P2 &lt;= 2/3; P3 &lt;= 1/3; P4 &lt;= 1/3; P5 &lt;= 1/3</t>
  </si>
  <si>
    <t>108  #</t>
  </si>
  <si>
    <t xml:space="preserve">P1 &gt; 1/3; P1 &lt;= 2/3; P2 &lt;= 1/3; P3 &lt;= 1/3; P4 &lt;= 1/3; P5 &lt;= 1/3 </t>
  </si>
  <si>
    <t>223,245 types 1 to 4</t>
  </si>
  <si>
    <t>P1 &gt; 1/3; P1 &lt;= 2/3; P4&lt;= 1/3; P5 &lt;= 1/3 or P2 &gt; 1/3; P2 &lt;= 2/3; P4 &lt;= 1/3; P5 &lt;= 1/3 or P3 &gt; 1/3; P3 &lt;= 2/3; P4 &lt;= 1/3; P5 &lt;= 1/3</t>
  </si>
  <si>
    <t>211, 243 types 1 to 4</t>
  </si>
  <si>
    <t>Class 5000 excluding classes 5010, 5020</t>
  </si>
  <si>
    <t>XX</t>
  </si>
  <si>
    <t>P52 &gt; 2/3</t>
  </si>
  <si>
    <t>106 col 6,409 col 1</t>
  </si>
  <si>
    <t>P51 &gt; 2/3</t>
  </si>
  <si>
    <t>104,105,125,127</t>
  </si>
  <si>
    <t>P5 &gt; 2/3</t>
  </si>
  <si>
    <t xml:space="preserve">110 type 5  # </t>
  </si>
  <si>
    <t>Class 4400 (excluding classes 4410, 4420, 4430)</t>
  </si>
  <si>
    <t>110 types  1 to 4  #</t>
  </si>
  <si>
    <t>P4 &gt; 2/3; P42 &lt;= 2/3</t>
  </si>
  <si>
    <t xml:space="preserve">109 type 5  # </t>
  </si>
  <si>
    <t>P42 &gt; 2/3; J07 &gt; 1/10; excluding class 4100</t>
  </si>
  <si>
    <t xml:space="preserve">109 type 4  # </t>
  </si>
  <si>
    <t>P42 &gt; 2/3; J07 &lt;= 1/10</t>
  </si>
  <si>
    <t>P41 &gt; 2/3; J7 &gt; P41*2/3</t>
  </si>
  <si>
    <t>X</t>
  </si>
  <si>
    <t>P4 &gt; 2/3</t>
  </si>
  <si>
    <t>G3 &gt; 2/3  Olives</t>
  </si>
  <si>
    <t>Class 3000 excluding 3100, 3200, 3300</t>
  </si>
  <si>
    <t>93,94,100</t>
  </si>
  <si>
    <t>Class 3200 excluding classes 3210, 3220</t>
  </si>
  <si>
    <t>G02 &gt; 2/3</t>
  </si>
  <si>
    <t>91,95-99</t>
  </si>
  <si>
    <t>Class 3210 excluding 3211, 3212</t>
  </si>
  <si>
    <t>G01b &gt; 2/3</t>
  </si>
  <si>
    <t>G01a &gt; 2/3</t>
  </si>
  <si>
    <t xml:space="preserve">(G1 + G2) &gt; 2/3 </t>
  </si>
  <si>
    <t>71-74</t>
  </si>
  <si>
    <t>Class 3140 excluding classes 3141, 3142</t>
  </si>
  <si>
    <t>G04d &gt; 2/3</t>
  </si>
  <si>
    <t>61,62,64,65</t>
  </si>
  <si>
    <t>G04c &gt; 2/3</t>
  </si>
  <si>
    <t>5,41</t>
  </si>
  <si>
    <t>G4 &gt; 2/3</t>
  </si>
  <si>
    <t>P3 &gt; 2/3</t>
  </si>
  <si>
    <t>21-23</t>
  </si>
  <si>
    <t>P2 &gt; 2/3; (D14b+D15) &lt;= 2/3; (D16 + D17) &lt;= 2/3</t>
  </si>
  <si>
    <t>11-13</t>
  </si>
  <si>
    <t>(D16 + D17) &gt; 2/3</t>
  </si>
  <si>
    <t>(D14b + D15) &gt; 2/3</t>
  </si>
  <si>
    <t>1-4</t>
  </si>
  <si>
    <t>P2 &gt; 2/3</t>
  </si>
  <si>
    <t>Codes</t>
  </si>
  <si>
    <t>Col 7</t>
  </si>
  <si>
    <t>Col 6</t>
  </si>
  <si>
    <t>Type</t>
  </si>
  <si>
    <t>Crop code</t>
  </si>
  <si>
    <t>D13c &gt; 2/3</t>
  </si>
  <si>
    <t xml:space="preserve">D 13a &gt; 2/3   </t>
  </si>
  <si>
    <t>Class 1400 (excluding classes 1410, 1420, 1430)</t>
  </si>
  <si>
    <t>P1 &gt;2/3 and P11 + D09 + D13d1 + D22 &lt;= 2/3</t>
  </si>
  <si>
    <t>Class 1300 excluding classes 1310, 1320</t>
  </si>
  <si>
    <t>P11+ D09 + D13d1+D22 &gt; 2/3 and D07 &gt; 2/3</t>
  </si>
  <si>
    <t>P11 + D09 + D13d1 + D22 &gt; 2/3</t>
  </si>
  <si>
    <t>others</t>
  </si>
  <si>
    <t>P1 &gt; 2/3</t>
  </si>
  <si>
    <t>Class 9000 (excluding class 9100)</t>
  </si>
  <si>
    <t xml:space="preserve"> D21 = 100%  (Fallow)</t>
  </si>
  <si>
    <t>J1 &gt; 2/3</t>
  </si>
  <si>
    <t>(F01 + F02)&gt; 1/3; (D12 + D18a + D18b) &gt; 1/3; ((F01 + F02 &gt;= (D12 = D18a + D18b)) Classified as 9200</t>
  </si>
  <si>
    <t>(D12 + D18a + D18b) &gt; 1/3; (F01 + F02) &gt; 1/3; (D12 + D18a + D18b) &gt; (F01 + F02) Classified as 9200</t>
  </si>
  <si>
    <t>poultry</t>
  </si>
  <si>
    <t>C3  BY - PRODUCTS ,  FORAGE   AND   CULTIVATIONS</t>
  </si>
  <si>
    <t>(D12 + D18a + D18b) = 1/3; (F01 + F02) = 2/3 Classified as 9200</t>
  </si>
  <si>
    <t>(D12 + D18a + D18b) = 2/3; (F01 + F02) = 1/3 Classified as 9200</t>
  </si>
  <si>
    <t>(F01 + F02) &gt; 2/3 Classified as 9200</t>
  </si>
  <si>
    <t>lowratio</t>
  </si>
  <si>
    <t>(D12 + D18) &gt; 2/3 Classified as 9200</t>
  </si>
  <si>
    <t>lfaratio</t>
  </si>
  <si>
    <t>P11 + D09 + D13d1 + D22 &gt; 2/3 and P111 + D09 + D13d1 + D22 &gt; 2/3 and D22&gt; 2/3</t>
  </si>
  <si>
    <t>lowr</t>
  </si>
  <si>
    <t>Class 7200 excluding classes 7210, 7220</t>
  </si>
  <si>
    <t>lfar</t>
  </si>
  <si>
    <t>P4 &gt; 1/3; P5 &gt; 1/3; P41&lt;= 1/3 or P41 &gt; 1/3; P5 &gt; 1/3; J07 &lt;= (P41*2/3)</t>
  </si>
  <si>
    <t>P41 &gt; 1/3; P5 &gt; 1/3; J7 &gt; P41*2/3</t>
  </si>
  <si>
    <t>P4&gt; 1/3; P4 &lt;=2/3, ((P41&lt;=1/3) or (P41 &gt; 1/3 and J07 &lt;=(P41*2/3))); P1&lt;= 1/3; P2 &lt;= 1/3; P3 &lt;= 1/3; P5 &lt;=1/3 (excluding class 7121)</t>
  </si>
  <si>
    <t>P4 &lt;= 2/3; P41 &gt; 1/3; J07&gt;P41*2/3; P1&lt;= 1/3; P2 &lt;= 1/3; P3 &lt;= 1/3; P5 &lt;= 1/3</t>
  </si>
  <si>
    <t>Class 5030 excluding 5031</t>
  </si>
  <si>
    <t>P51 &gt; 1/3; P52 &gt; 1/3</t>
  </si>
  <si>
    <t>lowewes</t>
  </si>
  <si>
    <t>Class 8200 excluding classes 8210, 8220</t>
  </si>
  <si>
    <t>lfaewes</t>
  </si>
  <si>
    <t>P3 &gt; 1/3; P4&gt; 1/3 (excluding class 8100)</t>
  </si>
  <si>
    <t>lfacode</t>
  </si>
  <si>
    <t>E2</t>
  </si>
  <si>
    <t>P1 &gt; 1/3; P5 &gt; 1/3; (excluding class 8100)</t>
  </si>
  <si>
    <t>P4 &gt; 1/3; P1 &gt; 1/3; P4 &gt;= P1 (excluding classes 8141, 8110, 8120)</t>
  </si>
  <si>
    <t>P1 &gt; 1/3; P4 &gt; 1/3; P1 &gt; P4 (excluding classes 8110, 8131)</t>
  </si>
  <si>
    <t>P1  &gt; 1/3; P41 &gt; 1/3; J07 &gt; P41 * 2/3); P41 &gt;= P1</t>
  </si>
  <si>
    <t xml:space="preserve">P1  &gt; 1/3; P41 &gt; 1/3; J07 &gt;P41 * 2/3); P41 &lt; P1  </t>
  </si>
  <si>
    <t>Class 4440 excluding classes 4441, 4442, 4443)</t>
  </si>
  <si>
    <t>J19 &gt; 2/3</t>
  </si>
  <si>
    <t>J10 &gt; 2/3</t>
  </si>
  <si>
    <t>P42 &gt; 1/3; J9 &gt; 1/3</t>
  </si>
  <si>
    <t>J9 &gt; 2/3</t>
  </si>
  <si>
    <t>J18</t>
  </si>
  <si>
    <t>Code</t>
  </si>
  <si>
    <t>P42 &gt; 2/3; J7 &gt; 1/10; J7 &lt; 1/4</t>
  </si>
  <si>
    <t>G04d</t>
  </si>
  <si>
    <t xml:space="preserve">C2      CURRENT   CROPS </t>
  </si>
  <si>
    <t>P42 &gt; 2/3; J7&gt; 1/4 (excluding class 4100)</t>
  </si>
  <si>
    <t>G04c</t>
  </si>
  <si>
    <t>LFA   (Codes 1 to 7)</t>
  </si>
  <si>
    <t>P42 &gt; 2/3; J7&lt;=1/10; J8 &lt;= 1/3</t>
  </si>
  <si>
    <t>G04b</t>
  </si>
  <si>
    <t>cattle</t>
  </si>
  <si>
    <t>Farm Ref. No.</t>
  </si>
  <si>
    <t>P42 &gt; 2/3; J7&lt;=1/10; J8 &gt; 1/3</t>
  </si>
  <si>
    <t>G04a</t>
  </si>
  <si>
    <t>E1</t>
  </si>
  <si>
    <t>Region</t>
  </si>
  <si>
    <t>G03</t>
  </si>
  <si>
    <t>LIVESTOCK</t>
  </si>
  <si>
    <t xml:space="preserve">A     GENERAL  CHARACTERISTICS  </t>
  </si>
  <si>
    <t>G02</t>
  </si>
  <si>
    <t>G01b</t>
  </si>
  <si>
    <t>F02</t>
  </si>
  <si>
    <t>J19</t>
  </si>
  <si>
    <t>Deer</t>
  </si>
  <si>
    <t>F01</t>
  </si>
  <si>
    <t>J01</t>
  </si>
  <si>
    <t>D21</t>
  </si>
  <si>
    <t>J16</t>
  </si>
  <si>
    <t>Other poultry                                      per head</t>
  </si>
  <si>
    <t>D13c</t>
  </si>
  <si>
    <t>J14</t>
  </si>
  <si>
    <t>Broilers                                                per head</t>
  </si>
  <si>
    <t>D13a</t>
  </si>
  <si>
    <t>J15</t>
  </si>
  <si>
    <t>Laying hens                                        per head</t>
  </si>
  <si>
    <t>D07</t>
  </si>
  <si>
    <t>J13</t>
  </si>
  <si>
    <t>Other pigs</t>
  </si>
  <si>
    <t>J11</t>
  </si>
  <si>
    <t>Piglets</t>
  </si>
  <si>
    <t>J12</t>
  </si>
  <si>
    <t>Sows &amp; gilts</t>
  </si>
  <si>
    <t>J10</t>
  </si>
  <si>
    <t>Goats</t>
  </si>
  <si>
    <t>J09b</t>
  </si>
  <si>
    <t>Other sheep non  LFA</t>
  </si>
  <si>
    <t>Other sheep LFA</t>
  </si>
  <si>
    <t>J09a</t>
  </si>
  <si>
    <t>Ewes LFA</t>
  </si>
  <si>
    <t>P42  &gt; 2/3; J07 &lt;= 1/10; J8 &lt;= 1/3</t>
  </si>
  <si>
    <t>Ewes non LFA</t>
  </si>
  <si>
    <t>P42  &gt; 2/3; J7 &lt;= 1/10; J8 &gt; 1/3</t>
  </si>
  <si>
    <t>J06</t>
  </si>
  <si>
    <t>Heifers</t>
  </si>
  <si>
    <t>J09</t>
  </si>
  <si>
    <t>J05</t>
  </si>
  <si>
    <t>Male cattle &gt;2</t>
  </si>
  <si>
    <t>Class 4100 excluding class 4110</t>
  </si>
  <si>
    <t>J08</t>
  </si>
  <si>
    <t>J4</t>
  </si>
  <si>
    <t>Female cattle 1-2</t>
  </si>
  <si>
    <t>J7 &gt; 2/3</t>
  </si>
  <si>
    <t>J07</t>
  </si>
  <si>
    <t>J03</t>
  </si>
  <si>
    <t>Male cattle 1-2</t>
  </si>
  <si>
    <t>J02</t>
  </si>
  <si>
    <t>Cattle &lt;1</t>
  </si>
  <si>
    <t>Beef cows LFA</t>
  </si>
  <si>
    <t>Class 5020 excluding classes 5021, 5022</t>
  </si>
  <si>
    <t>J04</t>
  </si>
  <si>
    <t>Beef cows non LFA</t>
  </si>
  <si>
    <t>(J14 + J16) &gt;2/3</t>
  </si>
  <si>
    <t>Dairy cows</t>
  </si>
  <si>
    <t>SLR's</t>
  </si>
  <si>
    <t>1900 hours is a full time SLR</t>
  </si>
  <si>
    <t>J15 &gt; 2/3</t>
  </si>
  <si>
    <t>avg no</t>
  </si>
  <si>
    <t>Class 5010 excluding 5011, 5012</t>
  </si>
  <si>
    <t>Grassland                                             no sgm</t>
  </si>
  <si>
    <t>(J11 + J13) &gt; 2/3</t>
  </si>
  <si>
    <t>D22</t>
  </si>
  <si>
    <t>I02</t>
  </si>
  <si>
    <t>Mushrooms      per 100m2</t>
  </si>
  <si>
    <t>C(404:407)[21:22]</t>
  </si>
  <si>
    <t>Rough grazing**</t>
  </si>
  <si>
    <t>J12 &gt; 2/3</t>
  </si>
  <si>
    <t>Set aside</t>
  </si>
  <si>
    <t>C(402:403+409)[21:22]</t>
  </si>
  <si>
    <t>Grassland**</t>
  </si>
  <si>
    <t>P1&lt;= 1/3; P2 &gt; 1/3; P2 &lt;= 2/3; P3 &lt;= 1/3; P4 &lt;=1/3; P5 &lt;= 1/3 or P1 &lt;= 1/3; P2 &lt;= 1/3; P3 &gt; 1/3; P3 &lt;= 2/3; P4 &lt;= 1/3; P5 &lt;= 1/3</t>
  </si>
  <si>
    <t>G05</t>
  </si>
  <si>
    <t>Nurseries (inc Christmas trees)</t>
  </si>
  <si>
    <t>E(69+71)[18]</t>
  </si>
  <si>
    <t>P2 &gt; 1/3; P3 &gt; 1/3</t>
  </si>
  <si>
    <t>G04</t>
  </si>
  <si>
    <t>Vines</t>
  </si>
  <si>
    <t>E(67)[18]</t>
  </si>
  <si>
    <t>G01c</t>
  </si>
  <si>
    <t>Nuts                                                         no sgm</t>
  </si>
  <si>
    <t>E(65)[18]</t>
  </si>
  <si>
    <t>Classes 3100 excluding classes 3110, 3120, 3130</t>
  </si>
  <si>
    <t>G01a</t>
  </si>
  <si>
    <t>Soft &amp; top fruit</t>
  </si>
  <si>
    <t>C(400+415:417)[21:22]</t>
  </si>
  <si>
    <t>Fodder crops**</t>
  </si>
  <si>
    <t>(G04a + G04b) &gt; 2/3; G04a &lt;= 2/3; G04b &lt;= 2/3</t>
  </si>
  <si>
    <t>D20</t>
  </si>
  <si>
    <t>Other arable crops</t>
  </si>
  <si>
    <t>E(60)[18]</t>
  </si>
  <si>
    <t>Other poultry</t>
  </si>
  <si>
    <t>G04b &gt; 2/3</t>
  </si>
  <si>
    <t>D19</t>
  </si>
  <si>
    <t>Herbage seed/hort seeds</t>
  </si>
  <si>
    <t>E(55)[18]</t>
  </si>
  <si>
    <t>Growing pullets</t>
  </si>
  <si>
    <t>G04a &gt; 2/3</t>
  </si>
  <si>
    <t>D18b</t>
  </si>
  <si>
    <t>D17</t>
  </si>
  <si>
    <t>Flowers - under glass</t>
  </si>
  <si>
    <t>E(54)[18]</t>
  </si>
  <si>
    <t>Laying hens</t>
  </si>
  <si>
    <t>Class 2030 excluding classes 2031, 2032, 2033</t>
  </si>
  <si>
    <t>D18a</t>
  </si>
  <si>
    <t>D16</t>
  </si>
  <si>
    <t>Flowers - outdoor</t>
  </si>
  <si>
    <t>E(57:59)[18]</t>
  </si>
  <si>
    <t>Table fowl</t>
  </si>
  <si>
    <t>I2 &gt; 2/3</t>
  </si>
  <si>
    <t>D15</t>
  </si>
  <si>
    <t>Fresh veg/strawberries - under glass</t>
  </si>
  <si>
    <t>E(47)[18}</t>
  </si>
  <si>
    <t>Piglets (&lt;20kg)</t>
  </si>
  <si>
    <t>(D14b + D16) &gt; 2/3</t>
  </si>
  <si>
    <t>D14b</t>
  </si>
  <si>
    <t>Fresh veg/strawberries - market garden</t>
  </si>
  <si>
    <t>Lsk&amp;For</t>
  </si>
  <si>
    <t>E(42+45+46+50+51)[18]</t>
  </si>
  <si>
    <t>Finishing &amp; rearing pigs</t>
  </si>
  <si>
    <t>Class 2020 excluding 2021, 2022</t>
  </si>
  <si>
    <t>D14a</t>
  </si>
  <si>
    <t>Fresh veg/strawberries - in open</t>
  </si>
  <si>
    <t>Scratch</t>
  </si>
  <si>
    <t>E(43+44)[18]</t>
  </si>
  <si>
    <t>Sows</t>
  </si>
  <si>
    <t>D16 &gt; 2/3</t>
  </si>
  <si>
    <t>D13iii</t>
  </si>
  <si>
    <t>Other industrial                                   no sgm</t>
  </si>
  <si>
    <t>Buildepn</t>
  </si>
  <si>
    <t>E(32:36)[18]</t>
  </si>
  <si>
    <t>Other sheep (lfa)1</t>
  </si>
  <si>
    <t>Class 2010 excluding classes 2011, 2012</t>
  </si>
  <si>
    <t>D13ii</t>
  </si>
  <si>
    <t>Aromatic, medical                             no sgm</t>
  </si>
  <si>
    <t>MCDepn</t>
  </si>
  <si>
    <t>Other sheep (lowland)1</t>
  </si>
  <si>
    <t>D14b &gt; 2/3</t>
  </si>
  <si>
    <t>D13d</t>
  </si>
  <si>
    <t>D13dii</t>
  </si>
  <si>
    <t>Linseed, flax</t>
  </si>
  <si>
    <t>Lease</t>
  </si>
  <si>
    <t>E(29+28+75)[18]</t>
  </si>
  <si>
    <t>Ewes and rams (lfa)1</t>
  </si>
  <si>
    <t>G01 &gt; 2/3</t>
  </si>
  <si>
    <t>D12</t>
  </si>
  <si>
    <t>D13di</t>
  </si>
  <si>
    <t>Sunflower, poppy</t>
  </si>
  <si>
    <t>Fin</t>
  </si>
  <si>
    <t>Ewes and rams (lowland) 1</t>
  </si>
  <si>
    <t>(D15 + D17) &gt; 2/3</t>
  </si>
  <si>
    <t>D09</t>
  </si>
  <si>
    <t>Oilseed  rape</t>
  </si>
  <si>
    <t>Stock Reco</t>
  </si>
  <si>
    <t>E(10+3+13+14+16:21)[18]</t>
  </si>
  <si>
    <t>Other cattle</t>
  </si>
  <si>
    <t>D17 &gt; 2/3</t>
  </si>
  <si>
    <t>P121</t>
  </si>
  <si>
    <t>D13b</t>
  </si>
  <si>
    <t>Hops</t>
  </si>
  <si>
    <t>BANK STATEMENT</t>
  </si>
  <si>
    <t>Suckling calves from split E1</t>
  </si>
  <si>
    <t>D15 &gt; 2/3</t>
  </si>
  <si>
    <t>P111</t>
  </si>
  <si>
    <t>Fodder roots and brassicas          no sgm</t>
  </si>
  <si>
    <t>Y</t>
  </si>
  <si>
    <t>E(12+74)[18]</t>
  </si>
  <si>
    <t>Beef cows</t>
  </si>
  <si>
    <t>P52</t>
  </si>
  <si>
    <t>D11</t>
  </si>
  <si>
    <t>X &amp; AA</t>
  </si>
  <si>
    <t>E(4)[18]</t>
  </si>
  <si>
    <t>P1 &gt;1/3; P1 &lt;= 2/3; P2 &lt;= 1/3; P3&lt;= 1/3; P4 &lt;= 1/3; P5 &lt;= 1/3 excluding class 6051</t>
  </si>
  <si>
    <t>P51</t>
  </si>
  <si>
    <t>D10</t>
  </si>
  <si>
    <t>T&amp;U</t>
  </si>
  <si>
    <t>C(422)[21]</t>
  </si>
  <si>
    <t>P1 &gt; 1/3; P3 &gt; 1/3; G04 &lt;= 1/3</t>
  </si>
  <si>
    <t>P42</t>
  </si>
  <si>
    <t>D09b</t>
  </si>
  <si>
    <t>Peas (human consumption)</t>
  </si>
  <si>
    <t>S</t>
  </si>
  <si>
    <t>C(126)[21:22]</t>
  </si>
  <si>
    <t>Mushrooms</t>
  </si>
  <si>
    <t>P1 &gt; 1/3; G04 &gt; 1/3</t>
  </si>
  <si>
    <t>P41</t>
  </si>
  <si>
    <t>D09a</t>
  </si>
  <si>
    <t>Peas, beans (stockfeed)</t>
  </si>
  <si>
    <t>R</t>
  </si>
  <si>
    <r>
      <t>C(111:116+120:125+129+</t>
    </r>
    <r>
      <rPr>
        <sz val="10"/>
        <color indexed="10"/>
        <rFont val="Arial"/>
        <family val="2"/>
      </rPr>
      <t>190:205</t>
    </r>
    <r>
      <rPr>
        <sz val="10"/>
        <rFont val="Arial"/>
        <family val="2"/>
      </rPr>
      <t>+214:220+222+223:225+230+232+238:247+265)[21:22]{5}</t>
    </r>
  </si>
  <si>
    <t>Flowers &amp; plants under glass</t>
  </si>
  <si>
    <t>P1 &gt; 1/3; P2 &gt; 1/3</t>
  </si>
  <si>
    <t>P11</t>
  </si>
  <si>
    <t>D08</t>
  </si>
  <si>
    <t>Triticale, other cereals</t>
  </si>
  <si>
    <t>C(127+131:160+162:181+233:235+250:264)[21:22]{5}</t>
  </si>
  <si>
    <t>Holdings in class 144 (excluding classes 1441, 1442, 1444)</t>
  </si>
  <si>
    <t>P5</t>
  </si>
  <si>
    <t>D06</t>
  </si>
  <si>
    <t>Grain maize</t>
  </si>
  <si>
    <t>O</t>
  </si>
  <si>
    <t>C(111:116+120:125+129+224:225+265)[21:22]{1:4+6:8}</t>
  </si>
  <si>
    <t>P11 + D09 + D13d1+D22 &lt; 2/3 ; D14a &gt; 2/3</t>
  </si>
  <si>
    <t>P4</t>
  </si>
  <si>
    <t>D05</t>
  </si>
  <si>
    <t>C(190:205+222+230+238:243+246:247+ 214:220 +223+232+ 244:245)[21:22]</t>
  </si>
  <si>
    <t>Top and soft fruit</t>
  </si>
  <si>
    <t>P11 + D09 + D13d1+D22 &lt; =2/3; P11 + D09 + D13d1+D22  &gt; 1/3; P121 &gt; 1/3</t>
  </si>
  <si>
    <t>P3</t>
  </si>
  <si>
    <t>D04</t>
  </si>
  <si>
    <t>M</t>
  </si>
  <si>
    <t>C(161)[21:22]</t>
  </si>
  <si>
    <t>Vining Peas</t>
  </si>
  <si>
    <t>P11 + D09 + D13d1+D22 &lt;= 2/3, P121 &gt; 2/3 and D12 &lt;2/3</t>
  </si>
  <si>
    <t>P2</t>
  </si>
  <si>
    <t>D03</t>
  </si>
  <si>
    <t>C(160+162+163)[21:22]</t>
  </si>
  <si>
    <t>Other peas and beans</t>
  </si>
  <si>
    <t>P11 + D09 + D13d1 + D22 &gt; 2/3 and P111 + D09 + D13d1 + D22 &gt; 2/3 and D22&lt;= 2/3</t>
  </si>
  <si>
    <t>P1</t>
  </si>
  <si>
    <t>D01/D02</t>
  </si>
  <si>
    <t>Wheat, durum wheat</t>
  </si>
  <si>
    <t>J</t>
  </si>
  <si>
    <t>C(127+131:159+170:181+233:235+250:264)[21:22]{1:4+6:8}</t>
  </si>
  <si>
    <t>Outdoor Vegetables and salad**</t>
  </si>
  <si>
    <t>revised February 2004</t>
  </si>
  <si>
    <t>TYPE</t>
  </si>
  <si>
    <t>SGM</t>
  </si>
  <si>
    <t>CODE</t>
  </si>
  <si>
    <t>SGMs</t>
  </si>
  <si>
    <t>WALES</t>
  </si>
  <si>
    <t>WEST</t>
  </si>
  <si>
    <t>EAST</t>
  </si>
  <si>
    <t>NORTH</t>
  </si>
  <si>
    <t>CROPPING</t>
  </si>
  <si>
    <t>I (RO INPUT)</t>
  </si>
  <si>
    <t>C(71)[21:22]</t>
  </si>
  <si>
    <t>Early Potatoes</t>
  </si>
  <si>
    <t>FORMULAE FOR EC TYPES  (85/377/EEC)  17.8.85</t>
  </si>
  <si>
    <t>FBS</t>
  </si>
  <si>
    <t>EC</t>
  </si>
  <si>
    <t>GROUP</t>
  </si>
  <si>
    <t>TOTAL</t>
  </si>
  <si>
    <t>2000 SGMs</t>
  </si>
  <si>
    <t>SDA  (1=Yes, 0=No)</t>
  </si>
  <si>
    <t>H</t>
  </si>
  <si>
    <t>C(72:74)[21:22]</t>
  </si>
  <si>
    <t>Maincrop Potatoes*</t>
  </si>
  <si>
    <t>SLR SIZE</t>
  </si>
  <si>
    <t>DA  (1=Yes, 0=No)</t>
  </si>
  <si>
    <t>G</t>
  </si>
  <si>
    <t>C(61:64)[21:22]</t>
  </si>
  <si>
    <t>Field peas &amp; beans</t>
  </si>
  <si>
    <t>Size group</t>
  </si>
  <si>
    <t>LFA  (1=Yes, 0=No)</t>
  </si>
  <si>
    <t>F2</t>
  </si>
  <si>
    <t>C(81)[21:22]</t>
  </si>
  <si>
    <t>Sugar Beet</t>
  </si>
  <si>
    <t>Over 200 ESUs</t>
  </si>
  <si>
    <t>Size 8</t>
  </si>
  <si>
    <t>ESU SIZE</t>
  </si>
  <si>
    <t>REGION</t>
  </si>
  <si>
    <t>F1</t>
  </si>
  <si>
    <t>C(101)[21:22]</t>
  </si>
  <si>
    <t>100 - 199.9 ESUs</t>
  </si>
  <si>
    <t>Size 7</t>
  </si>
  <si>
    <t>FARM NUMBER</t>
  </si>
  <si>
    <t>C(91:100+103:106)[21:22]</t>
  </si>
  <si>
    <t>Oilseeds**</t>
  </si>
  <si>
    <t>60 - 99.9 ESUs</t>
  </si>
  <si>
    <t>Size 6</t>
  </si>
  <si>
    <t>SLR</t>
  </si>
  <si>
    <t>C(1:52)[21:22]</t>
  </si>
  <si>
    <t>Cereals**</t>
  </si>
  <si>
    <t>Over 5 FTE</t>
  </si>
  <si>
    <t>40 - 59.9 ESUs</t>
  </si>
  <si>
    <t>Size 5</t>
  </si>
  <si>
    <t>D</t>
  </si>
  <si>
    <t>England FBS items</t>
  </si>
  <si>
    <t>Hours</t>
  </si>
  <si>
    <t>ha/head</t>
  </si>
  <si>
    <t xml:space="preserve">Coefficient </t>
  </si>
  <si>
    <t>3 to &lt; 5 FTE</t>
  </si>
  <si>
    <t xml:space="preserve"> 28 - 39.9 ESUs</t>
  </si>
  <si>
    <t>Size 4</t>
  </si>
  <si>
    <t>ESUs</t>
  </si>
  <si>
    <t>TOTAL SGMs</t>
  </si>
  <si>
    <t>C3</t>
  </si>
  <si>
    <t>2 to &lt;3 FTE</t>
  </si>
  <si>
    <t xml:space="preserve"> 16 - 27.9 ESUs</t>
  </si>
  <si>
    <t>Size 3</t>
  </si>
  <si>
    <t>EC TYPE</t>
  </si>
  <si>
    <t>C2</t>
  </si>
  <si>
    <t>1 to &lt;2 FTE</t>
  </si>
  <si>
    <t xml:space="preserve"> 8 - 15.9 ESUs</t>
  </si>
  <si>
    <t>Size 2</t>
  </si>
  <si>
    <t>FBS TYPE</t>
  </si>
  <si>
    <t>C1</t>
  </si>
  <si>
    <t>&lt; 1FTE</t>
  </si>
  <si>
    <t>Under 7 ESUs</t>
  </si>
  <si>
    <t>Size 1</t>
  </si>
  <si>
    <t>% L'stock</t>
  </si>
  <si>
    <t>% SGMs</t>
  </si>
  <si>
    <t>Total SGMs</t>
  </si>
  <si>
    <t>B</t>
  </si>
  <si>
    <t>SLR calculations</t>
  </si>
  <si>
    <t>SLR Size Groups</t>
  </si>
  <si>
    <t>ESU Size Groups</t>
  </si>
  <si>
    <t>Size group Calculator</t>
  </si>
  <si>
    <t>Summary of SGM breakdown</t>
  </si>
  <si>
    <t>A</t>
  </si>
  <si>
    <t>LFA</t>
  </si>
  <si>
    <t>Vegetables / horticulture</t>
  </si>
  <si>
    <t>ARABLE, INCORPORATING HORTICULTURE and VEGETABLE PRODUCTION - Typical consumption Benchmark</t>
  </si>
  <si>
    <t>Clover silage</t>
  </si>
  <si>
    <t>Oilseed rape</t>
  </si>
  <si>
    <t>Linseed</t>
  </si>
  <si>
    <t>Sunflowers</t>
  </si>
  <si>
    <t>Other forage crop(s)</t>
  </si>
  <si>
    <t>Maize (grain)</t>
  </si>
  <si>
    <t>Red clover ley</t>
  </si>
  <si>
    <t>Any other crops</t>
  </si>
  <si>
    <t>Total area (Actual ha.)</t>
  </si>
  <si>
    <t>Other crop 1</t>
  </si>
  <si>
    <t>Other crop 2</t>
  </si>
  <si>
    <t>Other crop 3</t>
  </si>
  <si>
    <t>Imported animal feeds - arable crops/straights</t>
  </si>
  <si>
    <t>Imported animal feeds - compound</t>
  </si>
  <si>
    <t>Other imported animal feeds</t>
  </si>
  <si>
    <t>This sheet is from the DEFRA Farm Business Survey workbook and requires no entry from advisors as it populates and calculates automatically</t>
  </si>
  <si>
    <t>Highly diverse mix of autumn/spring sowing with a range of roots, cereals and vegetables</t>
  </si>
  <si>
    <t>Other crops</t>
  </si>
  <si>
    <t>Short term green manure: red clover (less than 1 year)</t>
  </si>
  <si>
    <t xml:space="preserve"> 0-50 kg N/ha/year</t>
  </si>
  <si>
    <t>50-70 kg N/ha/year</t>
  </si>
  <si>
    <t>70-90 kg N/ha/year</t>
  </si>
  <si>
    <t>90-110 kg N/ha/year</t>
  </si>
  <si>
    <t>110-130+ kg N/ha/year</t>
  </si>
  <si>
    <t>Surplus/defecit less than 5 kg/ha:</t>
  </si>
  <si>
    <t>Surplus/defecit of greater than 5kg/ha, less than 10kg/ha:</t>
  </si>
  <si>
    <t xml:space="preserve">Surplus/defecit of greater than 10 kg/ha: </t>
  </si>
  <si>
    <t>Parsnips</t>
  </si>
  <si>
    <t>Other veg</t>
  </si>
  <si>
    <t>Human Health Issues</t>
  </si>
  <si>
    <t xml:space="preserve">How much access do you provide? </t>
  </si>
  <si>
    <t xml:space="preserve">Do you maintain areas of public access? </t>
  </si>
  <si>
    <t>Do you promote public access?</t>
  </si>
  <si>
    <t xml:space="preserve">How often do you review the state of your business? </t>
  </si>
  <si>
    <t xml:space="preserve">Do you have a health plan? </t>
  </si>
  <si>
    <t>Sandy and light soil</t>
  </si>
  <si>
    <t>Medium soil</t>
  </si>
  <si>
    <t>Heavy soil</t>
  </si>
  <si>
    <t>Chalk and limestone soil</t>
  </si>
  <si>
    <t>Peaty soil</t>
  </si>
  <si>
    <t>Dominant soil type</t>
  </si>
  <si>
    <t>Annual rainfall</t>
  </si>
  <si>
    <t>Altitude</t>
  </si>
  <si>
    <t>Total number of species/varieties</t>
  </si>
  <si>
    <t>Number of species/varieties</t>
  </si>
  <si>
    <t>m above sea level</t>
  </si>
  <si>
    <t>years</t>
  </si>
  <si>
    <t>Refs</t>
  </si>
  <si>
    <t>Nature on the Map (Natural England, 2010)</t>
  </si>
  <si>
    <t>Farm Environment Plan manual (Natural England, 2010)</t>
  </si>
  <si>
    <t>ORC (2010)</t>
  </si>
  <si>
    <t>Nix (2009)</t>
  </si>
  <si>
    <t>Animal Health and Welfare Statistics team, DEFRA (2006), ORC (2010)</t>
  </si>
  <si>
    <t>Measures (personal communication, 2010)</t>
  </si>
  <si>
    <t>RSPCA (2010)</t>
  </si>
  <si>
    <t>Tame (personal communication, 2010)</t>
  </si>
  <si>
    <t>Tonnes</t>
  </si>
  <si>
    <t>Own farm or tenant farmer? (if both, give one which is predominant)</t>
  </si>
  <si>
    <t>How many staff do you employ? (including yourself)</t>
  </si>
  <si>
    <t>Genetic heriatge</t>
  </si>
  <si>
    <t>Do you farm any Rare Breeds Survival Trust watchlist breeds?</t>
  </si>
  <si>
    <t>Do you farm using heritage varieties of crops</t>
  </si>
  <si>
    <t>Yes, one</t>
  </si>
  <si>
    <t>Yes, more than one</t>
  </si>
  <si>
    <t>Don't farm livestock</t>
  </si>
  <si>
    <t>Don't have arable</t>
  </si>
  <si>
    <t>Genetic Heritage</t>
  </si>
  <si>
    <t>A high score can be obtained by farming rare breeds of livestock or heritage breeds of arable crops as the farm then acts as a genetic store</t>
  </si>
  <si>
    <t>RBST watch list breeds</t>
  </si>
  <si>
    <t>Cattle</t>
  </si>
  <si>
    <t>Boreray</t>
  </si>
  <si>
    <t>Leicester Longwool</t>
  </si>
  <si>
    <t>North Ronaldsay</t>
  </si>
  <si>
    <t>Castlemilk Moorit</t>
  </si>
  <si>
    <t>Devon and Cornwall Longwool</t>
  </si>
  <si>
    <t>Hill Radnor</t>
  </si>
  <si>
    <t>Tesswater</t>
  </si>
  <si>
    <t>Whitefaced Woodland</t>
  </si>
  <si>
    <t>Balwen</t>
  </si>
  <si>
    <t>Cotswold</t>
  </si>
  <si>
    <t>Lincoln Longwool</t>
  </si>
  <si>
    <t>Manx Loughan</t>
  </si>
  <si>
    <t>Norfolk Horn</t>
  </si>
  <si>
    <t>Oxfod Down</t>
  </si>
  <si>
    <t>Portland</t>
  </si>
  <si>
    <t>Soay</t>
  </si>
  <si>
    <t>Wensleydale</t>
  </si>
  <si>
    <t>Whiteface Dartmoor</t>
  </si>
  <si>
    <t>Dorset Down</t>
  </si>
  <si>
    <t>Dorset Horn</t>
  </si>
  <si>
    <t>Greyface Dartmoor</t>
  </si>
  <si>
    <t>Shropshire</t>
  </si>
  <si>
    <t>Aberdeen Angus</t>
  </si>
  <si>
    <t>Chillingham Wild Cattle</t>
  </si>
  <si>
    <t>Northern Dairy Shorthorn</t>
  </si>
  <si>
    <t>Whitebred shorthorn</t>
  </si>
  <si>
    <t>Vaynol</t>
  </si>
  <si>
    <t>Lincoln red</t>
  </si>
  <si>
    <t>Gloucester</t>
  </si>
  <si>
    <t>Irish Moiled</t>
  </si>
  <si>
    <t>Shetland</t>
  </si>
  <si>
    <t>Hereford</t>
  </si>
  <si>
    <t>White Park</t>
  </si>
  <si>
    <t>British Lop</t>
  </si>
  <si>
    <t>Large Black</t>
  </si>
  <si>
    <t>Middle White</t>
  </si>
  <si>
    <t>Berkshire</t>
  </si>
  <si>
    <t>Tamworth</t>
  </si>
  <si>
    <t>Welsh</t>
  </si>
  <si>
    <t>British Saddleback</t>
  </si>
  <si>
    <t>Gloucestershire Old Spot</t>
  </si>
  <si>
    <t>Rare Breeds Survival Trust</t>
  </si>
  <si>
    <t>http://www.rbst.org.uk/</t>
  </si>
  <si>
    <t>How many species/varieties do you grow in total for each group of crops? (include the number of species in a grass mixture)</t>
  </si>
  <si>
    <t>How many varieties do you grow in total for each group of crops? (include the number of species in a grass mixyure)</t>
  </si>
  <si>
    <t>table birds</t>
  </si>
  <si>
    <t>How would you describe the longevity of your animals</t>
  </si>
  <si>
    <t>How would you describe lameness incidence in your animals?</t>
  </si>
  <si>
    <t>How animals are managed?</t>
  </si>
  <si>
    <t>How animals are fed?</t>
  </si>
  <si>
    <t>Does it highlight current problems?</t>
  </si>
  <si>
    <t>Does it include a strategy for overcoming each problem?</t>
  </si>
  <si>
    <t>Does the strategy have a monitoring system?</t>
  </si>
  <si>
    <t>Does the strategy have a timescale?</t>
  </si>
  <si>
    <t>Yes, No</t>
  </si>
  <si>
    <t>5,1</t>
  </si>
  <si>
    <t>What is the level of agri-environmental participation?</t>
  </si>
  <si>
    <t>agri-environmental participation</t>
  </si>
  <si>
    <t>Designated non cropped nature reserve land / agri-environmental land (e.g field margins, wild bird mixtures)</t>
  </si>
  <si>
    <t>LIVESTOCK (including tack grazing cattle/ flying flocks):</t>
  </si>
  <si>
    <t>Dates covered (note that this should be a year)</t>
  </si>
  <si>
    <t>Casual (type n/a if there are no casual staff)?</t>
  </si>
  <si>
    <t>Long term (including family - note, no n/a option should be used here as the farmer is included)?</t>
  </si>
  <si>
    <t>Are you increasing, decreasing or maintaining Soil Organic Matter levels (if no testing is carried out then the "don't know" option should be used here)?</t>
  </si>
  <si>
    <t>How would you describe mastitis incidence in your herd (n/a if you do not have a dairy herd)</t>
  </si>
  <si>
    <t>Questions are based on the following references (see references page): MAFF (1993), Davis and Smith(2009), DEFRA(2009), University of Hertfordshire (2006)</t>
  </si>
  <si>
    <r>
      <t xml:space="preserve">Data for N, P, K values is taken from the Guide to Nutrient Budgeting on Organic Farms (Watson </t>
    </r>
    <r>
      <rPr>
        <i/>
        <sz val="11"/>
        <color theme="1"/>
        <rFont val="Calibri"/>
        <family val="2"/>
        <scheme val="minor"/>
      </rPr>
      <t xml:space="preserve">et al, </t>
    </r>
    <r>
      <rPr>
        <sz val="11"/>
        <color theme="1"/>
        <rFont val="Calibri"/>
        <family val="2"/>
        <scheme val="minor"/>
      </rPr>
      <t>2010), PLANET (ADAS, 2008), and the Managing Manure on Organic Farms booklet (ADAS and ORC, 2002)</t>
    </r>
  </si>
  <si>
    <t>Doring and Wolfe (2009)</t>
  </si>
  <si>
    <t>PP (Permanent Pasture) - high clover content</t>
  </si>
  <si>
    <t>PP (Permanent Pasture) - medium clover content</t>
  </si>
  <si>
    <t>PP (permanent pasture) - low clover content</t>
  </si>
  <si>
    <t>PP (permanent pasture - zero clover</t>
  </si>
  <si>
    <t>PP low input/rough grazing, actual hectares - high clover content</t>
  </si>
  <si>
    <t>PP low input/rough grazing, actual hectares - medium clover content</t>
  </si>
  <si>
    <t>PP low input/rough grazing, actual hectares - low clover content</t>
  </si>
  <si>
    <t>PP low input/rough grazing, actual hectares - zero clover content</t>
  </si>
  <si>
    <t>Permanent pasture - high clover</t>
  </si>
  <si>
    <t>Permanent pasture - medium clover</t>
  </si>
  <si>
    <t>Permanent pasture - low clover</t>
  </si>
  <si>
    <t>Permanent pasture - zero clover</t>
  </si>
  <si>
    <t>I test some fields every two years, or on grassland test every 5 years</t>
  </si>
  <si>
    <t>Lime / other applications to affect soil ph</t>
  </si>
  <si>
    <t>Contractors **</t>
  </si>
  <si>
    <t>Jeffreys et al (in press 2011)</t>
  </si>
  <si>
    <t>How would you describe the housing/grazing options available to your livestock? Below "freedom foods" standards, According to "freedom foods" standards, higher than "freedom foods" standards, much higher than "freedom foods" standards</t>
  </si>
  <si>
    <t>treatment&amp;prevention cost &lt;£25/LU</t>
  </si>
  <si>
    <t>Euorganic regulations regarding outdoor area per head</t>
  </si>
  <si>
    <t>Cubic metres</t>
  </si>
  <si>
    <t>Calcium nitrate</t>
  </si>
  <si>
    <t>Ammonium Sulphate (21% N)</t>
  </si>
  <si>
    <t>Inorganic fertilisers - nitrogen</t>
  </si>
  <si>
    <t>Inorganic fertilisers - phosphate</t>
  </si>
  <si>
    <t>Sylvinite</t>
  </si>
  <si>
    <t>Calcium ammonium nitrate</t>
  </si>
  <si>
    <t>Liquid N (24% N)</t>
  </si>
  <si>
    <t>Triple superphosphate (TSP)</t>
  </si>
  <si>
    <t>Di-ammonium phosphate (DAP)</t>
  </si>
  <si>
    <t>Mono-ammonium phosphate (MAP)</t>
  </si>
  <si>
    <t>Muriate of potash (MOP)</t>
  </si>
  <si>
    <t>Sulphate of potash (SOP)</t>
  </si>
  <si>
    <t>Potassium nitrate</t>
  </si>
  <si>
    <t xml:space="preserve">Kainit </t>
  </si>
  <si>
    <t xml:space="preserve">Sylvinite </t>
  </si>
  <si>
    <t>Other fertilisers</t>
  </si>
  <si>
    <t>Inorganic fertilisers - potassium</t>
  </si>
  <si>
    <t>Steelmaking slag</t>
  </si>
  <si>
    <t>Ashed poultry manure</t>
  </si>
  <si>
    <t>Ammonium Nitrate (34% N)</t>
  </si>
  <si>
    <t>No training provided</t>
  </si>
  <si>
    <t>Training provided on first use of these</t>
  </si>
  <si>
    <t>Training provided and topped up if the member of staff requests</t>
  </si>
  <si>
    <t>Training provided followed by regular top-ups</t>
  </si>
  <si>
    <t>Are staff who handle potentially hazardous substances/machinery (e.g pesticides, heavy plant machinery) given training?</t>
  </si>
  <si>
    <t>Animal health and welfare management</t>
  </si>
  <si>
    <t>Other compound cakes 18% protein</t>
  </si>
  <si>
    <t>Other animal feeds - protein (approx. 45% protein)</t>
  </si>
  <si>
    <t>compared with treatment costs quoted in the survey carried out for the DEFRA OF0348 project and costs quoted in the Farm Business Survey animal health and welfare survey, inflated up by2% per year from 2006 to 2016. Each boundary has been increased by £5 compared with the organic version of the tool to reflect the higher veterinary costs for conventional farms</t>
  </si>
  <si>
    <t>£40&lt;treatment&amp;prevention cost/LU&lt;£55</t>
  </si>
  <si>
    <t>£25&lt;treatment&amp;prevention cost/LU&lt;£40</t>
  </si>
  <si>
    <t>£55&lt;treatment&amp;prevention cost per LU&lt;£70</t>
  </si>
  <si>
    <t>treatment&amp;prevention cost/LU &gt; £70</t>
  </si>
  <si>
    <t xml:space="preserve">How characteristic is the farm of the local area? </t>
  </si>
  <si>
    <t>Do you farm using heritage varieties of crops?</t>
  </si>
  <si>
    <t>Do you out-winter livestock?</t>
  </si>
  <si>
    <t>Yes, hens</t>
  </si>
  <si>
    <t>Yes, sheep/goats</t>
  </si>
  <si>
    <t>Yes, pigs</t>
  </si>
  <si>
    <t>Yes, cattle/horses</t>
  </si>
  <si>
    <t>all staff are very highly qualified/experienced (e.g. FACTS/BASIS, agricultural degree, decades of experience)</t>
  </si>
  <si>
    <t>higher than average (e.g. FACTS/BASIS)</t>
  </si>
  <si>
    <t>average (e.g. BASIS, telehandler licence)</t>
  </si>
  <si>
    <t>How well qualified are your staff (including yourself)? (by experience and/or courses/ certification)</t>
  </si>
  <si>
    <t>limited or occasional access</t>
  </si>
  <si>
    <t>Biomass production</t>
  </si>
  <si>
    <t>Electricity renewable</t>
  </si>
  <si>
    <t>Wood fuel</t>
  </si>
  <si>
    <t>Electricity - renewable</t>
  </si>
  <si>
    <t>Woodfuel</t>
  </si>
  <si>
    <t>Biomass</t>
  </si>
  <si>
    <t>Total diesel use by enterprise:</t>
  </si>
  <si>
    <t>Renewable energy use:</t>
  </si>
  <si>
    <t>Total farm direct energy use</t>
  </si>
  <si>
    <t>Total farm renewable energy use</t>
  </si>
  <si>
    <t>Percent renewable</t>
  </si>
  <si>
    <t>Dairy calf 0-6 months</t>
  </si>
  <si>
    <t>Dairy calf 6-12 months</t>
  </si>
  <si>
    <t>Dairy cattle 12-24 months</t>
  </si>
  <si>
    <t>Dairy cattle over 24 months</t>
  </si>
  <si>
    <t>Beef calf 0-6 months</t>
  </si>
  <si>
    <t>Beef calf 6-12 months</t>
  </si>
  <si>
    <t>Beef cattle 12-24 months</t>
  </si>
  <si>
    <t>Beef cattle over 24 months</t>
  </si>
  <si>
    <t>labour use in FTE (full time equivalent) per ha</t>
  </si>
  <si>
    <t>number per ha</t>
  </si>
  <si>
    <t>From the non-organic graph in Figure 4.5 on page 70 of Lobley et al (2005) report to Defra on "The impact of organic farming on the rural economy in England"</t>
  </si>
  <si>
    <t>Labour details from the non-organic data from "Survey and analysis of labour on organic farms in the UK and republic of Ireland", Morison et al (2005), International Journal of Agriculturl Sustainability, 3(1):24-43</t>
  </si>
  <si>
    <t>2000+</t>
  </si>
  <si>
    <t>1501-2000</t>
  </si>
  <si>
    <t>1001-1500</t>
  </si>
  <si>
    <t>501-1000</t>
  </si>
  <si>
    <t>1-500</t>
  </si>
  <si>
    <t>% harvested for woodfuel</t>
  </si>
  <si>
    <t xml:space="preserve">Previous land-use </t>
  </si>
  <si>
    <t>metres</t>
  </si>
  <si>
    <t>Typical hedge width in metres</t>
  </si>
  <si>
    <t>Soft fruit</t>
  </si>
  <si>
    <t>Olives</t>
  </si>
  <si>
    <t>Trees per ha scalar - woodfuel</t>
  </si>
  <si>
    <t>Trees per ha scalar - timber</t>
  </si>
  <si>
    <t>Other non-woody energy crop</t>
  </si>
  <si>
    <t>Total woodland and tree crop area</t>
  </si>
  <si>
    <t>TOTAL Hedge length in metres</t>
  </si>
  <si>
    <t>Hedge area used for woodfuel in ha</t>
  </si>
  <si>
    <r>
      <t>CO</t>
    </r>
    <r>
      <rPr>
        <b/>
        <vertAlign val="subscript"/>
        <sz val="11"/>
        <color theme="1"/>
        <rFont val="Calibri"/>
        <family val="2"/>
        <scheme val="minor"/>
      </rPr>
      <t>2</t>
    </r>
    <r>
      <rPr>
        <b/>
        <sz val="11"/>
        <color theme="1"/>
        <rFont val="Calibri"/>
        <family val="2"/>
        <scheme val="minor"/>
      </rPr>
      <t xml:space="preserve"> Balance</t>
    </r>
  </si>
  <si>
    <t>Within agroforestry? (Y/N)</t>
  </si>
  <si>
    <t xml:space="preserve">Crop area - agroforestry CROPS </t>
  </si>
  <si>
    <t xml:space="preserve">Pasture area - agroforestry LIVESTOCK </t>
  </si>
  <si>
    <t>Tree fruit crops</t>
  </si>
  <si>
    <t>Tree area - agroforestry LIVESTOCK</t>
  </si>
  <si>
    <t>food</t>
  </si>
  <si>
    <t xml:space="preserve">Tree area - agroforestry </t>
  </si>
  <si>
    <t>tonnes</t>
  </si>
  <si>
    <t>m3</t>
  </si>
  <si>
    <r>
      <t>m</t>
    </r>
    <r>
      <rPr>
        <vertAlign val="superscript"/>
        <sz val="11"/>
        <color theme="1"/>
        <rFont val="Calibri"/>
        <family val="2"/>
        <scheme val="minor"/>
      </rPr>
      <t>3</t>
    </r>
  </si>
  <si>
    <t xml:space="preserve">Timber </t>
  </si>
  <si>
    <t>Timber</t>
  </si>
  <si>
    <t xml:space="preserve">Select unit for wood product   </t>
  </si>
  <si>
    <t>unit for wood product</t>
  </si>
  <si>
    <t>wood product</t>
  </si>
  <si>
    <t>Dominant tree type conversion factor</t>
  </si>
  <si>
    <t>Conifer</t>
  </si>
  <si>
    <t>Broadleaf</t>
  </si>
  <si>
    <t>Dominant tree type</t>
  </si>
  <si>
    <t xml:space="preserve">Dominant factor </t>
  </si>
  <si>
    <t>Crops fuel</t>
  </si>
  <si>
    <t>Crops timber</t>
  </si>
  <si>
    <t>Fruit fuel</t>
  </si>
  <si>
    <t>Fruit timber</t>
  </si>
  <si>
    <t>Livestock fuel</t>
  </si>
  <si>
    <t>Livestock timber</t>
  </si>
  <si>
    <t>Selected</t>
  </si>
  <si>
    <t>Exported yield DW tonnes</t>
  </si>
  <si>
    <t>Livestock type</t>
  </si>
  <si>
    <t>KoPs</t>
  </si>
  <si>
    <t xml:space="preserve">Dairy </t>
  </si>
  <si>
    <t>Light pork (weaners, growers, cutters)</t>
  </si>
  <si>
    <t>Baconers and other 'heavy' pork stock</t>
  </si>
  <si>
    <t>Equidae</t>
  </si>
  <si>
    <t>pc output per head of breeding stock from OLUM</t>
  </si>
  <si>
    <t>Breeding offset</t>
  </si>
  <si>
    <t>Headage</t>
  </si>
  <si>
    <t>DW t per ha</t>
  </si>
  <si>
    <t>LW t per ha</t>
  </si>
  <si>
    <t>export</t>
  </si>
  <si>
    <t>Energy content - MJ/unit</t>
  </si>
  <si>
    <t>Governance</t>
  </si>
  <si>
    <t>Ethics</t>
  </si>
  <si>
    <t>Higher scores given for awareness of risks and mitigation measures</t>
  </si>
  <si>
    <t xml:space="preserve">When making farm management decisions, do you take account of the effects they are having outside the farm boundary? For example, the environmental performace of your suppliers, the impact of your water use/management on others or the social impacts of your practices in terms of noise, pollution and community life? </t>
  </si>
  <si>
    <t>Yes, and can give several examples</t>
  </si>
  <si>
    <t>Accountability</t>
  </si>
  <si>
    <t>Greater transparency and participation in regular sustainability assessments results in higher score</t>
  </si>
  <si>
    <t>Participation</t>
  </si>
  <si>
    <t>Rule of law</t>
  </si>
  <si>
    <t>Compliance with legal reporting / practice requirements leads to higher score</t>
  </si>
  <si>
    <t>Holistic management</t>
  </si>
  <si>
    <t>Assessment, monitoring and implementation of action related to wider sustainability impacts results in higher score</t>
  </si>
  <si>
    <t>Have you previously assessed the sustainability of the farm with a recognised sustainability assessment (SA) tool in the past?</t>
  </si>
  <si>
    <t xml:space="preserve">Regular (approx. every 3yrs) assessment with a SA tool </t>
  </si>
  <si>
    <t>Work cooperatively with other producers on an irregular basis</t>
  </si>
  <si>
    <t>Are you aware of, and compliant with, all national laws and international agreements related to employment law (if applicable - applies if volunteers present) and farming? Include any accidental breaches</t>
  </si>
  <si>
    <t>Current practices do not meet all legal requirements</t>
  </si>
  <si>
    <t>In what ways have you changed your farming practices recently (last 3 years) in the light of new knowledge and research? How do you find out about it?</t>
  </si>
  <si>
    <t>No changes to practices</t>
  </si>
  <si>
    <t>Have considered it in most areas but not all</t>
  </si>
  <si>
    <t>Have considered it in 1-2 areas</t>
  </si>
  <si>
    <t>Given it no consideration EXCEPT where legally required</t>
  </si>
  <si>
    <t>Given it no consideration at all</t>
  </si>
  <si>
    <t>Have you previously assessed the sustainability of the farm with a recognised sustainability assessment tool in the past (include certifying bodies IF feedback provided)</t>
  </si>
  <si>
    <t xml:space="preserve">Annually with a SA tool </t>
  </si>
  <si>
    <t>Assessment conducted but only once. No plans to repeat</t>
  </si>
  <si>
    <t>No assessment ever conducted</t>
  </si>
  <si>
    <t>Member of cooperative groups that, together, cover all listed stakeholder groups</t>
  </si>
  <si>
    <t>In regular conversation in an unofficial capacity with all listed stakeholder groups</t>
  </si>
  <si>
    <t>Regular meetings and co-operative working with other producers</t>
  </si>
  <si>
    <t>Work independently except where input is obligatory</t>
  </si>
  <si>
    <t>Definitely in compliance with all laws</t>
  </si>
  <si>
    <t>In compliance but not certain that all laws known</t>
  </si>
  <si>
    <t>Law has been accidentally broken in the last 5yrs but farm is now compliant</t>
  </si>
  <si>
    <t xml:space="preserve">Multiple changes to practices; follow best practices (by events, farmer groups etc.) </t>
  </si>
  <si>
    <t>Changes to practices but follow irregularly (only if hear about it in passing)</t>
  </si>
  <si>
    <t>Do you have a sustainability management plan in place for the farm?</t>
  </si>
  <si>
    <t>Yes, plans in place with clear objectives across multiple dimensions (environmental, social, economic)</t>
  </si>
  <si>
    <t>Plans are in place for sustainability across multiple dimensions (environmental, social, economic) but without clear objectives</t>
  </si>
  <si>
    <t xml:space="preserve">Have basic plans in place across 1+ dimensions </t>
  </si>
  <si>
    <t>Have considered sustainability management but no formal plans are in place</t>
  </si>
  <si>
    <t>Have not considered / implemented plans in this area</t>
  </si>
  <si>
    <t>Did your land acquisition consider and make allowance for the access rights of the previous owners/tenants?</t>
  </si>
  <si>
    <t>Yes, considered and made full allowances above and beyond legal requirements</t>
  </si>
  <si>
    <t>Yes, considered and made allowances in line with legal requirements</t>
  </si>
  <si>
    <t>Yes, considered working towards compliance with requirements</t>
  </si>
  <si>
    <t>Previous tenants land access not considered in acquisition</t>
  </si>
  <si>
    <t>Woody perennial land area as % of total land</t>
  </si>
  <si>
    <t>How is the current level of demand for the non-food product produced by the farm business?</t>
  </si>
  <si>
    <t>Reducing slightly</t>
  </si>
  <si>
    <t>Reducing considerably</t>
  </si>
  <si>
    <t>Remaining steady</t>
  </si>
  <si>
    <t>Increasing slightly</t>
  </si>
  <si>
    <t>Increasing considerably</t>
  </si>
  <si>
    <t xml:space="preserve">Land Equivalent Ratio (LER) calculation </t>
  </si>
  <si>
    <t>How and to what extent does the cultivation / use of the non-food product produced on the farm affect the workload?</t>
  </si>
  <si>
    <t>No effect on workload</t>
  </si>
  <si>
    <t>Positive effect on workload  (e.g. leads to increased employment opportunity and improved staff wellbeing)</t>
  </si>
  <si>
    <t>Negative effect on workload (e.g. leads to increased demands/stress)</t>
  </si>
  <si>
    <t>Below average</t>
  </si>
  <si>
    <t>Higher than average</t>
  </si>
  <si>
    <t>How would you describe the salary / wage  level for the staff working on your farm?</t>
  </si>
  <si>
    <t>To what extent are the three key Permaculture Principles adhered to on the farm? i.e.  1. Provision for people to access the resources necessary to their existence; 2. Provision for all life systems to continue and multiply; and 3. Living within limits and distributing surplus)</t>
  </si>
  <si>
    <t>1 out of three principles met effectively</t>
  </si>
  <si>
    <t>2 out of three principles met effectively</t>
  </si>
  <si>
    <t>All three principles met effectively</t>
  </si>
  <si>
    <t>None of the permaculture principles are met</t>
  </si>
  <si>
    <t xml:space="preserve">To what extent are the three key Permaculture principles applied on the farm?  </t>
  </si>
  <si>
    <t>MJ produced - on-farm woodchip</t>
  </si>
  <si>
    <t>MJ produced - exported woodchip</t>
  </si>
  <si>
    <t>Fuel</t>
  </si>
  <si>
    <t>Grid electricity</t>
  </si>
  <si>
    <t>Natural gas</t>
  </si>
  <si>
    <t>Heating oil</t>
  </si>
  <si>
    <t>Wood pellets</t>
  </si>
  <si>
    <t>Wood logs (seasoned)</t>
  </si>
  <si>
    <t>Wood chips</t>
  </si>
  <si>
    <t>Grasses/straw</t>
  </si>
  <si>
    <t>Biogas</t>
  </si>
  <si>
    <t>kg CO2e per kWh of fuel</t>
  </si>
  <si>
    <t>kg CO2e per MJ of fuel</t>
  </si>
  <si>
    <t>Source: Solid fuel and air quality - an update for local authorities.   Environmental Protection UK</t>
  </si>
  <si>
    <r>
      <t>Equivalent Kg CO</t>
    </r>
    <r>
      <rPr>
        <vertAlign val="subscript"/>
        <sz val="11"/>
        <color theme="1"/>
        <rFont val="Calibri"/>
        <family val="2"/>
        <scheme val="minor"/>
      </rPr>
      <t>2</t>
    </r>
    <r>
      <rPr>
        <sz val="11"/>
        <color theme="1"/>
        <rFont val="Calibri"/>
        <family val="2"/>
        <scheme val="minor"/>
      </rPr>
      <t xml:space="preserve"> emissions from replaced fuel</t>
    </r>
  </si>
  <si>
    <r>
      <t>Kg CO</t>
    </r>
    <r>
      <rPr>
        <vertAlign val="subscript"/>
        <sz val="11"/>
        <color theme="1"/>
        <rFont val="Calibri"/>
        <family val="2"/>
        <scheme val="minor"/>
      </rPr>
      <t>2</t>
    </r>
    <r>
      <rPr>
        <sz val="11"/>
        <color theme="1"/>
        <rFont val="Calibri"/>
        <family val="2"/>
        <scheme val="minor"/>
      </rPr>
      <t xml:space="preserve"> emissions from woodchip production processes</t>
    </r>
  </si>
  <si>
    <r>
      <t>Kg CO</t>
    </r>
    <r>
      <rPr>
        <vertAlign val="subscript"/>
        <sz val="11"/>
        <color theme="1"/>
        <rFont val="Calibri"/>
        <family val="2"/>
        <scheme val="minor"/>
      </rPr>
      <t>2</t>
    </r>
    <r>
      <rPr>
        <sz val="11"/>
        <color theme="1"/>
        <rFont val="Calibri"/>
        <family val="2"/>
        <scheme val="minor"/>
      </rPr>
      <t xml:space="preserve"> emissions from woodchip and % of fossil-fuel alternative</t>
    </r>
  </si>
  <si>
    <r>
      <t>Tonnes OR M</t>
    </r>
    <r>
      <rPr>
        <vertAlign val="superscript"/>
        <sz val="11"/>
        <color theme="1"/>
        <rFont val="Calibri"/>
        <family val="2"/>
        <scheme val="minor"/>
      </rPr>
      <t>3</t>
    </r>
    <r>
      <rPr>
        <sz val="11"/>
        <color theme="1"/>
        <rFont val="Calibri"/>
        <family val="2"/>
        <scheme val="minor"/>
      </rPr>
      <t xml:space="preserve"> woodfuel used for heat / power - on-farm</t>
    </r>
  </si>
  <si>
    <r>
      <t>Tonnes OR M</t>
    </r>
    <r>
      <rPr>
        <vertAlign val="superscript"/>
        <sz val="11"/>
        <color theme="1"/>
        <rFont val="Calibri"/>
        <family val="2"/>
        <scheme val="minor"/>
      </rPr>
      <t>3</t>
    </r>
    <r>
      <rPr>
        <sz val="11"/>
        <color theme="1"/>
        <rFont val="Calibri"/>
        <family val="2"/>
        <scheme val="minor"/>
      </rPr>
      <t xml:space="preserve"> woodfuel used for heat / power - exports</t>
    </r>
  </si>
  <si>
    <r>
      <t>kg CO</t>
    </r>
    <r>
      <rPr>
        <b/>
        <vertAlign val="subscript"/>
        <sz val="11"/>
        <color theme="1"/>
        <rFont val="Calibri"/>
        <family val="2"/>
        <scheme val="minor"/>
      </rPr>
      <t>2</t>
    </r>
    <r>
      <rPr>
        <b/>
        <sz val="11"/>
        <color theme="1"/>
        <rFont val="Calibri"/>
        <family val="2"/>
        <scheme val="minor"/>
      </rPr>
      <t xml:space="preserve"> equivalent released</t>
    </r>
  </si>
  <si>
    <r>
      <t>kg CO</t>
    </r>
    <r>
      <rPr>
        <b/>
        <vertAlign val="subscript"/>
        <sz val="11"/>
        <color theme="1"/>
        <rFont val="Calibri"/>
        <family val="2"/>
        <scheme val="minor"/>
      </rPr>
      <t>2</t>
    </r>
    <r>
      <rPr>
        <b/>
        <sz val="11"/>
        <color theme="1"/>
        <rFont val="Calibri"/>
        <family val="2"/>
        <scheme val="minor"/>
      </rPr>
      <t xml:space="preserve"> equivalent sequestered</t>
    </r>
  </si>
  <si>
    <t>Avoided GHG emissions from woody biomass</t>
  </si>
  <si>
    <t>No effect</t>
  </si>
  <si>
    <t>Human health and wellbeing</t>
  </si>
  <si>
    <t>How does non-food product affect access to 'modern' energy types (e.g. electricity)</t>
  </si>
  <si>
    <t>Some improvement</t>
  </si>
  <si>
    <t>Substantial improvement</t>
  </si>
  <si>
    <t>Landscape management</t>
  </si>
  <si>
    <t>Do you carefully select the sites for growing non-food crops (e.g. siting on marginal land)</t>
  </si>
  <si>
    <t>The more closely the farm relates to the local area, and the greater amount of care given in the siting of features, the higher the score</t>
  </si>
  <si>
    <t>Domestic/ other</t>
  </si>
  <si>
    <t>Domestic</t>
  </si>
  <si>
    <t>Woodfuel unit</t>
  </si>
  <si>
    <t>% in relation to benchmark</t>
  </si>
  <si>
    <t>Average farmhouse:  86,420 MJ/year</t>
  </si>
  <si>
    <r>
      <t xml:space="preserve">Erosion- </t>
    </r>
    <r>
      <rPr>
        <sz val="10"/>
        <rFont val="Arial"/>
        <family val="2"/>
      </rPr>
      <t xml:space="preserve"> Please report % of land affected </t>
    </r>
  </si>
  <si>
    <t>Is woody biomass production present on the farm?</t>
  </si>
  <si>
    <t>Biomass present?</t>
  </si>
  <si>
    <t>How would you describe the housing/grazing options available to your livestock? According to basic standards, higher than basic standards, much higher than basic standards</t>
  </si>
  <si>
    <t>Below basic standards</t>
  </si>
  <si>
    <t>according to basic standards</t>
  </si>
  <si>
    <t>higher than basic standards</t>
  </si>
  <si>
    <t>much higher than basic standards</t>
  </si>
  <si>
    <t>basic level scheme</t>
  </si>
  <si>
    <t>higher-level scheme</t>
  </si>
  <si>
    <t>Is more than 50% land in a less favoured area (productivity limited by altitude, climate, steepness of land)</t>
  </si>
  <si>
    <t>MARKETED YIELDS</t>
  </si>
  <si>
    <t>EU 28</t>
  </si>
  <si>
    <t>UK</t>
  </si>
  <si>
    <t>US</t>
  </si>
  <si>
    <t>avg yield t/ha</t>
  </si>
  <si>
    <t>Field Beans</t>
  </si>
  <si>
    <t>Wheat</t>
  </si>
  <si>
    <t>OSR</t>
  </si>
  <si>
    <t>Apples</t>
  </si>
  <si>
    <t>low</t>
  </si>
  <si>
    <t>high</t>
  </si>
  <si>
    <t>mid</t>
  </si>
  <si>
    <t>Avg</t>
  </si>
  <si>
    <t xml:space="preserve">Other </t>
  </si>
  <si>
    <t>Cattle split between bovine and dairy</t>
  </si>
  <si>
    <t>Remainder (sold as meat)</t>
  </si>
  <si>
    <t>beef in EU 28 as % of total cattle</t>
  </si>
  <si>
    <t>dairy in EU 28 as % of total cattle</t>
  </si>
  <si>
    <t>Total LUs</t>
  </si>
  <si>
    <t>DAIRY</t>
  </si>
  <si>
    <t>BEEF</t>
  </si>
  <si>
    <t>SHEEP</t>
  </si>
  <si>
    <t>PIGS</t>
  </si>
  <si>
    <t>POULTRY  - MEAT</t>
  </si>
  <si>
    <t>POULTRY - EGGS</t>
  </si>
  <si>
    <t>Beef</t>
  </si>
  <si>
    <t xml:space="preserve">Sheep </t>
  </si>
  <si>
    <t>Dominant</t>
  </si>
  <si>
    <t>LER wood</t>
  </si>
  <si>
    <t>LER food</t>
  </si>
  <si>
    <t>ME per ha</t>
  </si>
  <si>
    <t>total per ha</t>
  </si>
  <si>
    <t>ME per ha by crop/crop-type</t>
  </si>
  <si>
    <t>Total agroforestry area - ha</t>
  </si>
  <si>
    <t>Total LER</t>
  </si>
  <si>
    <t>ME exported</t>
  </si>
  <si>
    <t>Luxembourg</t>
  </si>
  <si>
    <t>Ireland</t>
  </si>
  <si>
    <t>Slovenia</t>
  </si>
  <si>
    <t>Lithuania</t>
  </si>
  <si>
    <t>Latvia</t>
  </si>
  <si>
    <t>Estonia</t>
  </si>
  <si>
    <t>France</t>
  </si>
  <si>
    <t>Sweden</t>
  </si>
  <si>
    <t>Czech Republic</t>
  </si>
  <si>
    <t>Austria</t>
  </si>
  <si>
    <t>Finland</t>
  </si>
  <si>
    <t>Slovakia</t>
  </si>
  <si>
    <t>United Kingdom</t>
  </si>
  <si>
    <t>Portugal</t>
  </si>
  <si>
    <t>Germany</t>
  </si>
  <si>
    <t>Poland</t>
  </si>
  <si>
    <t>Norway</t>
  </si>
  <si>
    <t>Belgium</t>
  </si>
  <si>
    <t>Bulgaria</t>
  </si>
  <si>
    <t>Italy</t>
  </si>
  <si>
    <t>Netherlands</t>
  </si>
  <si>
    <t>Croatia</t>
  </si>
  <si>
    <t>Romania</t>
  </si>
  <si>
    <t>Malta</t>
  </si>
  <si>
    <t>Spain</t>
  </si>
  <si>
    <t>Denmark</t>
  </si>
  <si>
    <t>Hungary</t>
  </si>
  <si>
    <t>Cyprus</t>
  </si>
  <si>
    <t>Greece</t>
  </si>
  <si>
    <t>Country</t>
  </si>
  <si>
    <t>% of total LSU by country</t>
  </si>
  <si>
    <t>UAA</t>
  </si>
  <si>
    <t>LSU</t>
  </si>
  <si>
    <t>Fodder area</t>
  </si>
  <si>
    <t>LSU grazing livestock</t>
  </si>
  <si>
    <t>Total livestock density</t>
  </si>
  <si>
    <t>Grazing livestock density</t>
  </si>
  <si>
    <t>Figure 2.  Livestock density, EU-28 and Norway, 2013 (LSU/ha)</t>
  </si>
  <si>
    <t>LSU per ha</t>
  </si>
  <si>
    <t>LU % by type</t>
  </si>
  <si>
    <r>
      <t>Dairy cattle slurry -</t>
    </r>
    <r>
      <rPr>
        <b/>
        <sz val="10"/>
        <rFont val="Arial"/>
        <family val="2"/>
      </rPr>
      <t xml:space="preserve"> </t>
    </r>
    <r>
      <rPr>
        <b/>
        <i/>
        <sz val="10"/>
        <rFont val="Arial"/>
        <family val="2"/>
      </rPr>
      <t>please enter cubic metres</t>
    </r>
  </si>
  <si>
    <t>Tree area - agroforestry FRUIT</t>
  </si>
  <si>
    <t>Fruit crop area - agroforestry FRUIT</t>
  </si>
  <si>
    <t>Is woody biomass production for energy present on the farm?</t>
  </si>
  <si>
    <t>Total N,P,K balance for the farm in kg</t>
  </si>
  <si>
    <t>Land Equivalent Ratio</t>
  </si>
  <si>
    <t>N balance per ha</t>
  </si>
  <si>
    <t>P balance per ha</t>
  </si>
  <si>
    <t>K balance per ha</t>
  </si>
  <si>
    <t>Farm gate NPK balance</t>
  </si>
  <si>
    <t>Beef &amp; sheep</t>
  </si>
  <si>
    <t>Poultry - layers</t>
  </si>
  <si>
    <t>Poultry - broilers</t>
  </si>
  <si>
    <t xml:space="preserve">Domestic </t>
  </si>
  <si>
    <t>Labour use - ALUs</t>
  </si>
  <si>
    <t>Key assessment criteria</t>
  </si>
  <si>
    <t>Total UAA (utilisable agricultural area - ha)</t>
  </si>
  <si>
    <t>Is more than 50% land Less Favoured Area?</t>
  </si>
  <si>
    <t>Woody biomass present on farm?</t>
  </si>
  <si>
    <t>Level of agri-environmental participation?</t>
  </si>
  <si>
    <t>N  P  K</t>
  </si>
  <si>
    <t xml:space="preserve">kg </t>
  </si>
  <si>
    <t>Full Time Equivalent (FTE)</t>
  </si>
  <si>
    <r>
      <t xml:space="preserve">Fuel type replaced through use of wood product (i.e. select dominant type that </t>
    </r>
    <r>
      <rPr>
        <b/>
        <sz val="10"/>
        <color theme="1"/>
        <rFont val="Arial"/>
        <family val="2"/>
      </rPr>
      <t>WOULD HAVE</t>
    </r>
    <r>
      <rPr>
        <sz val="10"/>
        <color theme="1"/>
        <rFont val="Arial"/>
        <family val="2"/>
      </rPr>
      <t xml:space="preserve"> been used if woodfuel unavailable)</t>
    </r>
  </si>
  <si>
    <r>
      <t xml:space="preserve">Dominant </t>
    </r>
    <r>
      <rPr>
        <b/>
        <sz val="10"/>
        <rFont val="Arial"/>
        <family val="2"/>
      </rPr>
      <t xml:space="preserve">FIELD CROP </t>
    </r>
    <r>
      <rPr>
        <sz val="10"/>
        <rFont val="Arial"/>
        <family val="2"/>
      </rPr>
      <t>system in surrounding area</t>
    </r>
  </si>
  <si>
    <r>
      <t xml:space="preserve">Dominant </t>
    </r>
    <r>
      <rPr>
        <b/>
        <sz val="10"/>
        <rFont val="Arial"/>
        <family val="2"/>
      </rPr>
      <t>FRUIT CROP</t>
    </r>
    <r>
      <rPr>
        <sz val="10"/>
        <rFont val="Arial"/>
        <family val="2"/>
      </rPr>
      <t xml:space="preserve"> system in surrounding area</t>
    </r>
  </si>
  <si>
    <t>Key to colour coding</t>
  </si>
  <si>
    <t>Blue boxes: instructions</t>
  </si>
  <si>
    <t xml:space="preserve"> </t>
  </si>
  <si>
    <t>Yield (total tonnes)</t>
  </si>
  <si>
    <t>Tonnes (import)</t>
  </si>
  <si>
    <t>Tonnes (export)</t>
  </si>
  <si>
    <t>Energy content (MJ/tonne)</t>
  </si>
  <si>
    <t>Annual rainfall (mm)</t>
  </si>
  <si>
    <t>Altitude (metres above sea level)</t>
  </si>
  <si>
    <t>Number of years since organic conversion started (years and months)</t>
  </si>
  <si>
    <t>Number of years fully organic (years and months)</t>
  </si>
  <si>
    <t>trees/ha</t>
  </si>
  <si>
    <t xml:space="preserve">Imported and exported animal feeds: forage </t>
  </si>
  <si>
    <t>Dozens</t>
  </si>
  <si>
    <t>1000s of litres</t>
  </si>
  <si>
    <t>Import</t>
  </si>
  <si>
    <t>Export</t>
  </si>
  <si>
    <t>Calculations</t>
  </si>
  <si>
    <t>Answer</t>
  </si>
  <si>
    <t>Hectares</t>
  </si>
  <si>
    <t>Unit</t>
  </si>
  <si>
    <t>Worksheets with a yellow tab are for data entry</t>
  </si>
  <si>
    <t>Are there historic features present on the farm (including archaeological features, traditional buildings, listed monuments)? If yes then answer question below.</t>
  </si>
  <si>
    <t xml:space="preserve">How often per day are livestock inspected for signs of illness/injury? </t>
  </si>
  <si>
    <t>Do you work together (information sharing, co-ops, shared outlets…) with other stakeholders in the production chain - other farmers, advisors, suppliers, control/certifying bodies, retailers, processors, government/policy people, NGOs, community groups</t>
  </si>
  <si>
    <t>Overall score</t>
  </si>
  <si>
    <t>Tonnes imported</t>
  </si>
  <si>
    <t>Tonnes exported</t>
  </si>
  <si>
    <t>Farm information</t>
  </si>
  <si>
    <t>Crops</t>
  </si>
  <si>
    <t>Imported Seeds</t>
  </si>
  <si>
    <t>Organic manures, slurries and sludges</t>
  </si>
  <si>
    <t>Inorganic fertilisers</t>
  </si>
  <si>
    <t>HEDGES</t>
  </si>
  <si>
    <t>Soil management score</t>
  </si>
  <si>
    <t>N,P,K balance in kg</t>
  </si>
  <si>
    <t>Erosion. Please report % of land affected by erosion</t>
  </si>
  <si>
    <t>On what percentage of your cultivated land are you implementing cultivation that reduces risk of erosion? E.g. minimum tillage and contour ploughing - use N/A option if you land is not subject to erosion</t>
  </si>
  <si>
    <t>Genetic heritage</t>
  </si>
  <si>
    <t>If there are, how much maintenance/care do you give them? None, little, some, much, N/A (if no historic features present) Please note: in the case of archaeological features a high level of care may involve keeping them buried and not ploughing/cultivating in the areas where they exist.</t>
  </si>
  <si>
    <t>Are you taking action to restore/manage appropriate boundary features (e.g hedges, hedge banks, earth banks, stone faced banks, stone walls, ditches)? (Select N/A if there are none of the boundary features listed)</t>
  </si>
  <si>
    <t xml:space="preserve">Do you farm any rare native livestock breeds? </t>
  </si>
  <si>
    <t>Landscape and heritage features score</t>
  </si>
  <si>
    <t>Energy and carbon: fuel use</t>
  </si>
  <si>
    <t>% use by Enterprise</t>
  </si>
  <si>
    <t>Amount</t>
  </si>
  <si>
    <t>Please enter amount of the following used over the last 12 months, then divide between your enterprise, expressed as a percentage</t>
  </si>
  <si>
    <t>No. of animals held on farm over 12 month period</t>
  </si>
  <si>
    <t>Export (no. including deaths)</t>
  </si>
  <si>
    <t>Import (no.)</t>
  </si>
  <si>
    <t>Number of breeds</t>
  </si>
  <si>
    <r>
      <t xml:space="preserve">Woody area managed for </t>
    </r>
    <r>
      <rPr>
        <b/>
        <sz val="10"/>
        <color theme="1"/>
        <rFont val="Arial"/>
        <family val="2"/>
      </rPr>
      <t>FUEL</t>
    </r>
    <r>
      <rPr>
        <sz val="10"/>
        <color theme="1"/>
        <rFont val="Arial"/>
        <family val="2"/>
      </rPr>
      <t xml:space="preserve"> (i.e. includes on farm woodland, wood pasture &amp; SRC) </t>
    </r>
  </si>
  <si>
    <t>Tree densities within woody area (i.e. trees per ha as average estimate)</t>
  </si>
  <si>
    <r>
      <t xml:space="preserve">Percentage of </t>
    </r>
    <r>
      <rPr>
        <b/>
        <sz val="10"/>
        <color theme="1"/>
        <rFont val="Arial"/>
        <family val="2"/>
      </rPr>
      <t>trees</t>
    </r>
    <r>
      <rPr>
        <sz val="10"/>
        <color theme="1"/>
        <rFont val="Arial"/>
        <family val="2"/>
      </rPr>
      <t xml:space="preserve"> harvested for fuel this year</t>
    </r>
  </si>
  <si>
    <r>
      <t xml:space="preserve">Percentage of </t>
    </r>
    <r>
      <rPr>
        <b/>
        <sz val="10"/>
        <color theme="1"/>
        <rFont val="Arial"/>
        <family val="2"/>
      </rPr>
      <t>trees</t>
    </r>
    <r>
      <rPr>
        <sz val="10"/>
        <color theme="1"/>
        <rFont val="Arial"/>
        <family val="2"/>
      </rPr>
      <t xml:space="preserve"> harvested for timber this year</t>
    </r>
  </si>
  <si>
    <r>
      <t xml:space="preserve">White boxes: </t>
    </r>
    <r>
      <rPr>
        <sz val="11"/>
        <color theme="1"/>
        <rFont val="Calibri"/>
        <family val="2"/>
        <scheme val="minor"/>
      </rPr>
      <t>your data input</t>
    </r>
  </si>
  <si>
    <r>
      <t xml:space="preserve">Worksheets with a dark purple tab are those where </t>
    </r>
    <r>
      <rPr>
        <sz val="11"/>
        <color theme="1"/>
        <rFont val="Calibri"/>
        <family val="2"/>
        <scheme val="minor"/>
      </rPr>
      <t>spur scores are given</t>
    </r>
  </si>
  <si>
    <t>Annual soil carbon (column T)</t>
  </si>
  <si>
    <t>Annual tree biomass C (Column U)</t>
  </si>
  <si>
    <t>nr</t>
  </si>
  <si>
    <t>Marketable yield (tonnes/ha)</t>
  </si>
  <si>
    <t>Please enter the amount of contract labour over the last 12 months, divided by enterprise, expressed as a percentage.</t>
  </si>
  <si>
    <t>Energy and carbon: Benchmark comparison</t>
  </si>
  <si>
    <t>Poultry: meat</t>
  </si>
  <si>
    <t>Poultry: eggs</t>
  </si>
  <si>
    <t>Total land (ha)</t>
  </si>
  <si>
    <t>Woody perennial area (ha)</t>
  </si>
  <si>
    <t>Woody perennial land area</t>
  </si>
  <si>
    <t>Casual</t>
  </si>
  <si>
    <t>Long term (including family)</t>
  </si>
  <si>
    <t>Family labour</t>
  </si>
  <si>
    <t>Hours per year</t>
  </si>
  <si>
    <t>FTE/ha</t>
  </si>
  <si>
    <t xml:space="preserve">The SustainFARM Public Goods Tool </t>
  </si>
  <si>
    <t>How many training days have staff (including the farmer) had per year in total - number of days per person?</t>
  </si>
  <si>
    <t>Number of days per FTE equivalent</t>
  </si>
  <si>
    <r>
      <rPr>
        <b/>
        <sz val="10"/>
        <rFont val="Arial"/>
        <family val="2"/>
      </rPr>
      <t xml:space="preserve">Does the farm have livestock </t>
    </r>
    <r>
      <rPr>
        <sz val="10"/>
        <rFont val="Arial"/>
        <family val="2"/>
      </rPr>
      <t>(including tack grazing/ flying livestock)? If yes, please continue with these questions. If no, please go straight to the Governance page</t>
    </r>
  </si>
  <si>
    <t>Initial data collection: farm information</t>
  </si>
  <si>
    <t>Energy benchmarks (energy use as % of average figures)</t>
  </si>
  <si>
    <r>
      <t>CO</t>
    </r>
    <r>
      <rPr>
        <b/>
        <vertAlign val="subscript"/>
        <sz val="10"/>
        <rFont val="Arial"/>
        <family val="2"/>
      </rPr>
      <t>2</t>
    </r>
    <r>
      <rPr>
        <b/>
        <sz val="10"/>
        <rFont val="Arial"/>
        <family val="2"/>
      </rPr>
      <t xml:space="preserve"> balance</t>
    </r>
  </si>
  <si>
    <r>
      <t>tonnes CO</t>
    </r>
    <r>
      <rPr>
        <vertAlign val="subscript"/>
        <sz val="10"/>
        <color theme="1"/>
        <rFont val="Arial"/>
        <family val="2"/>
      </rPr>
      <t>2</t>
    </r>
    <r>
      <rPr>
        <sz val="10"/>
        <color theme="1"/>
        <rFont val="Arial"/>
        <family val="2"/>
      </rPr>
      <t xml:space="preserve"> equivalent yr</t>
    </r>
  </si>
  <si>
    <t>Total UAA (utilisable agricultural area, hectares, automatically calculated)</t>
  </si>
  <si>
    <t>Monoculture output</t>
  </si>
  <si>
    <t>Concept and spur headings</t>
  </si>
  <si>
    <t>BioBio (2009) WP2 Indicators for biodiversity in organic and low input farming systems</t>
  </si>
  <si>
    <t>Kuratorium fur technik und bauwesen in der landwirtschaft (2009), Bewertung der Nachhaltigkeit Landwirtschaflicher Betriebe, Herausgeber, Germany</t>
  </si>
  <si>
    <t>National Institute of Statistics of Italy, Agri-environmental indicators to describe Agricultural Sustainability, Joint ECE/Eurostat Work Session on Methodological Issues of Environment Statistics, Ottowa, Canada</t>
  </si>
  <si>
    <t>Thimm, C., (2005) Organic Trade Association Perspective: A Questionnaire for Scientists and Statisticians, Towards a European Framework for Organic Market Information: Proceedings of 2nd EISFOM European Seminar, Brussels, Nov 10&amp;11, 2005</t>
  </si>
  <si>
    <t>Organic Research Centre (2010) OF0348 Final report Quality and Environmental Benchmarking for Organic Agriculture</t>
  </si>
  <si>
    <t>Soil Management</t>
  </si>
  <si>
    <t>MAFF (1993), Code of good agricultural practice for the protection of soil</t>
  </si>
  <si>
    <t>Davis and Smith (2009), "Think Soils - soil assessment to avoid erosion and runoff", Environment Agency</t>
  </si>
  <si>
    <t>DEFRA (2009), Defra Soil Protection Review 2010</t>
  </si>
  <si>
    <t>University of Hertfordshire (2006), http://sitem.herts.ac.uk/aeru/ema/old/index.htm [Accessed 1/12/2010]</t>
  </si>
  <si>
    <t>Manure management and nutrients</t>
  </si>
  <si>
    <t>Watson, C., Topp, K., Stockdale, L.,  (2010), A Guide to Nutrient Budgeting on Organic Farms, Institute of Organic Training and Advice</t>
  </si>
  <si>
    <t>ADAS (2008), PLANET: Planning Land Applications of Nutrients for Efficiency and the Environment, version 2 and version 3</t>
  </si>
  <si>
    <t>ADAS and Organic Research Centre (2002), Managing Manure on Organic Farms, DEFRA</t>
  </si>
  <si>
    <t>Schmidt, R., Kloble, U., (2009), Reference figures for organic farming inspectors, KTBL</t>
  </si>
  <si>
    <t xml:space="preserve">BASF, Fertiliser Product Manual, </t>
  </si>
  <si>
    <t>DEFRA (2010), RB209 Fertiliser Manual</t>
  </si>
  <si>
    <t>Energy and Carbon</t>
  </si>
  <si>
    <t>CLA (2010), http://www.cla.org.uk/Policy_Work, CALM_Calculator, [accessed 18/11/2010]</t>
  </si>
  <si>
    <t>CALU and ADAS (2007), Managing Energy and Carbon: The farmer's guide to energy audits</t>
  </si>
  <si>
    <t>Chamberlain, A.T., Wilkinson, J.M., (1996), Feeding the Dairy Cow, Chalcombe Publications</t>
  </si>
  <si>
    <t>Smith, L., Woodward, L., (2010), Environmental benchmarking and sustainability assessment for organic agriculture, ORC Bulletin</t>
  </si>
  <si>
    <t xml:space="preserve">University of Strathclyde (2010), http://www.esru.strath.ac.uk/EandE/Web_sites/01-02/RE_info/hec.htm
</t>
  </si>
  <si>
    <t>DUKES and Carbon Trust, Energy and Carbon conversion charts</t>
  </si>
  <si>
    <t>Lobley,M., Reed,M., Butler,A., (2005), The impact of Organic Farming on the Rural Economy in England, Final report to DEFRA, CRR Research report no 11</t>
  </si>
  <si>
    <t>Doring, T., Wolfe, M., (2009), Stabilising wheat yields - can genetic diversity increase reliability of wheat performance? The arable Group Research Bulletin,  22, 10-11</t>
  </si>
  <si>
    <t>Morison, J., Hine, R., Pretty, J., (2005), Survey and analysis of labour on organic farms in the UK and Republic of Ireland, International Journal of Agricultural Sustainability, 3(1):24-43</t>
  </si>
  <si>
    <t>Business Link (2010), http://www.businesslink.gov.uk/bdotg/action/detail?r.s=sc&amp;r.l1=1074404796&amp;r.lc=en&amp;r.l3=1075408468&amp;r.l2=1074446322&amp;r.i=1075408514&amp;type=RESOURCES&amp;itemId=1075408600&amp;r.t=RESOURCES, accessed 11/10/2010</t>
  </si>
  <si>
    <t>Health and Safety Executive (2010), http://www.hse.gov.uk/coshh/, accessed 11/10/2010</t>
  </si>
  <si>
    <t>Lampkin, N., Measures, M., Padel, S., (2008), 2009 Organic Farm Management Handbook</t>
  </si>
  <si>
    <t>Nix, J (2011), Farm Management Pocketbook 2011, 41st Edition</t>
  </si>
  <si>
    <t>Animal Health and Welfare</t>
  </si>
  <si>
    <t xml:space="preserve">Leeb,C., Main, D.C.J., Whay, H.R., Webster, A.J.F., (2004) BWAP Cattle Assessment </t>
  </si>
  <si>
    <t>Burke, J., (2006a), Welfare benchmarking and herd health plans on organic dairy farms, Final report to Defra</t>
  </si>
  <si>
    <t>Burke, J., (2006b) Welfare Benchmarking and herd health plans on organic dairy farms (DEFRA project OG0343), Organic studies Centre Technical Bulletin Issue 9</t>
  </si>
  <si>
    <t>Measures, M., (2010), private communication</t>
  </si>
  <si>
    <t>Nicholas, P., (2010), private communication</t>
  </si>
  <si>
    <t>Roderick, S., (2010) private communication.</t>
  </si>
  <si>
    <t>Tame, M., (2010), private communication</t>
  </si>
  <si>
    <t>Nix, J., (2009), The John Nix Farm Management Pocketbook 2010, 40th Edition.</t>
  </si>
  <si>
    <t>Animal Health and Welfare Statistics team, DEFRA, Animal Health planning – results from the farm business survey animal health and welfare module of 2005/06</t>
  </si>
  <si>
    <t>RSPCA, (2010) RSPCA welfare standards for...laying hens and pullets, beef cattle, dairy cattle, pigs, sheep</t>
  </si>
  <si>
    <t>Total MJ</t>
  </si>
  <si>
    <t>Actual used (MJ)</t>
  </si>
  <si>
    <t>DOMESTIC ENERGY CONSUMPTION benchmark</t>
  </si>
  <si>
    <t>Energy benchmarking</t>
  </si>
  <si>
    <t>Renewable energy use</t>
  </si>
  <si>
    <t>Greenhouse gas emissions</t>
  </si>
  <si>
    <t xml:space="preserve">Have you been able to carry out the investment you would like? </t>
  </si>
  <si>
    <t xml:space="preserve">How is your farm doing financially? </t>
  </si>
  <si>
    <t>How many sources of farm income do you have? E.g. Farm shop, farmers markets, mail order, website, farmers cooperatives, other merchants, local mart, grant.</t>
  </si>
  <si>
    <t xml:space="preserve">Total farm renewable energy </t>
  </si>
  <si>
    <t>Total farm renewable energy</t>
  </si>
  <si>
    <t>FTE</t>
  </si>
  <si>
    <t>Farm woodland and Agroforestry</t>
  </si>
  <si>
    <t>Agroforestry with Crops</t>
  </si>
  <si>
    <t>Fruit and Olive Tree Agroforestry (Please note: Only enter in this section if additional NON fruit trees harvested for wood present within fruit area)</t>
  </si>
  <si>
    <t>Agroforestry with Livestock</t>
  </si>
  <si>
    <r>
      <t xml:space="preserve">Woody area managed for </t>
    </r>
    <r>
      <rPr>
        <b/>
        <sz val="10"/>
        <color theme="1"/>
        <rFont val="Arial"/>
        <family val="2"/>
      </rPr>
      <t>TIMBER</t>
    </r>
    <r>
      <rPr>
        <sz val="10"/>
        <color theme="1"/>
        <rFont val="Arial"/>
        <family val="2"/>
      </rPr>
      <t xml:space="preserve"> (i.e. includes on farm woodland &amp; wood pasture) </t>
    </r>
  </si>
  <si>
    <r>
      <t xml:space="preserve">Length of hedges harvested this year for </t>
    </r>
    <r>
      <rPr>
        <b/>
        <sz val="10"/>
        <color theme="1"/>
        <rFont val="Arial"/>
        <family val="2"/>
      </rPr>
      <t xml:space="preserve">WOODFUEL or TIMBER </t>
    </r>
    <r>
      <rPr>
        <sz val="10"/>
        <color theme="1"/>
        <rFont val="Arial"/>
        <family val="2"/>
      </rPr>
      <t>in metres</t>
    </r>
  </si>
  <si>
    <r>
      <t>Annual biomass CO</t>
    </r>
    <r>
      <rPr>
        <b/>
        <vertAlign val="subscript"/>
        <sz val="11"/>
        <color theme="1"/>
        <rFont val="Calibri"/>
        <family val="2"/>
        <scheme val="minor"/>
      </rPr>
      <t>2</t>
    </r>
    <r>
      <rPr>
        <b/>
        <sz val="11"/>
        <color theme="1"/>
        <rFont val="Calibri"/>
        <family val="2"/>
        <scheme val="minor"/>
      </rPr>
      <t xml:space="preserve"> balance </t>
    </r>
  </si>
  <si>
    <r>
      <t>Annual biomass CO</t>
    </r>
    <r>
      <rPr>
        <vertAlign val="subscript"/>
        <sz val="11"/>
        <color theme="1"/>
        <rFont val="Calibri"/>
        <family val="2"/>
        <scheme val="minor"/>
      </rPr>
      <t>2</t>
    </r>
    <r>
      <rPr>
        <sz val="11"/>
        <color theme="1"/>
        <rFont val="Calibri"/>
        <family val="2"/>
        <scheme val="minor"/>
      </rPr>
      <t xml:space="preserve"> balance</t>
    </r>
  </si>
  <si>
    <t>Annual Soil C       (tC/yr)</t>
  </si>
  <si>
    <t>Annual Biomass C (tC/yr)</t>
  </si>
  <si>
    <t>Total C (t/yr)</t>
  </si>
  <si>
    <t>Total CO2 (t/yr)</t>
  </si>
  <si>
    <t>Total woodland, agroforestry, woodland pasture and SRC area  (tree area only)</t>
  </si>
  <si>
    <t>Total cropping (includes temporary pasture)</t>
  </si>
  <si>
    <t>Total grass (permanent pasture)</t>
  </si>
  <si>
    <r>
      <t>On-farm use and/or Exported (tonnes or m</t>
    </r>
    <r>
      <rPr>
        <b/>
        <vertAlign val="superscript"/>
        <sz val="10"/>
        <rFont val="Arial"/>
        <family val="2"/>
      </rPr>
      <t>3</t>
    </r>
    <r>
      <rPr>
        <b/>
        <sz val="10"/>
        <rFont val="Arial"/>
        <family val="2"/>
      </rPr>
      <t>)</t>
    </r>
  </si>
  <si>
    <t>Number of Full Time Equivalents (FTEs) labour units looking after livestock? (type n/a if you do not have these livestock on farm)</t>
  </si>
  <si>
    <t>Higher scores for regular soil testing and maintaining or increasing Soil Organic Matter levels</t>
  </si>
  <si>
    <t>Higher scores given for avoiding bare ground over winter and/or avoiding heavy machinery for harvests during winter months</t>
  </si>
  <si>
    <t>Higher scores for avoiding soil damage from winter grazing</t>
  </si>
  <si>
    <t>Higher scores for lower incidence of erosion</t>
  </si>
  <si>
    <t>Higher scores for implementing cultivation that reduces risk of erosion on larger proportion(s) of cultivated land</t>
  </si>
  <si>
    <t>Higher scores result from greater use of renewable energy as % of total</t>
  </si>
  <si>
    <r>
      <t>Scores in relation to CO</t>
    </r>
    <r>
      <rPr>
        <vertAlign val="subscript"/>
        <sz val="10"/>
        <rFont val="Arial"/>
        <family val="2"/>
      </rPr>
      <t>2</t>
    </r>
    <r>
      <rPr>
        <sz val="10"/>
        <rFont val="Arial"/>
        <family val="2"/>
      </rPr>
      <t xml:space="preserve"> emissions avoided from use of woodfuel in relation to fossil fuel alternative</t>
    </r>
  </si>
  <si>
    <t>Higher scores result from lower energy use per ha or per head of livestock</t>
  </si>
  <si>
    <t>Higher score from more diverse crop rotation and / or species and varietal diversity</t>
  </si>
  <si>
    <t>Higher scores given for diverse system with a mix of livetock species and breeds / crossbreeds</t>
  </si>
  <si>
    <t>Higher score from a high proportion of the land being managed as a woody perennial area</t>
  </si>
  <si>
    <t>Higher scores from diverse mix of marketing outlets</t>
  </si>
  <si>
    <t>High scores for on farm processing</t>
  </si>
  <si>
    <t>Collaboration with other members of supply chain and procedures in place for resolving differences result in higher scores</t>
  </si>
  <si>
    <t xml:space="preserve">Vegetables: ENERGY, EMISSIONS, ECOLOGY AND AGRICULTURAL SYSTEM INTEGRATION (EASI) tool (Smith et al 2010) </t>
  </si>
  <si>
    <t>Arable crops: Figures from ´Feeding the Dairy Cow´ by AT Chamberlain and JM Wilkinson (1996) Chalcombe Publications ISBN 9780948617324</t>
  </si>
  <si>
    <t xml:space="preserve">Timber and wood fuel: from the Biomass Energy Centre https://www.forestresearch.gov.uk/tools-and-resources/biomass-energy-resources/ </t>
  </si>
  <si>
    <t>Miscanthus: based on Miscanthus bale at 25% Moisture Content</t>
  </si>
  <si>
    <t>Other non-woody energy crop: based on 1 tonne of wood chips at 30% Moisture Content</t>
  </si>
  <si>
    <t>MAFF feeding tables</t>
  </si>
  <si>
    <t>Martinson 2010</t>
  </si>
  <si>
    <t>Eggs Source: FSA (Food Standards Agency) (2002) McCance and Widdowson’s The Composition of Foods, Sixth summary edition. Cambridge: Royal Society of Chemistry</t>
  </si>
  <si>
    <t>PLANET figures for NPK</t>
  </si>
  <si>
    <t>"Reference Figures for Organic Inspectors", KTBL</t>
  </si>
  <si>
    <t>From RB209 Fertiliser Manual from DEFRA</t>
  </si>
  <si>
    <t>Based on 95% DM content. NPK values taken from raw milk</t>
  </si>
  <si>
    <t>Managing manure on organic farms</t>
  </si>
  <si>
    <t>Standard Figures on Initial Data Collection sheet</t>
  </si>
  <si>
    <t>References</t>
  </si>
  <si>
    <t>Falloon et al (2004) Managing field margins for biodiversity and carbon seequestration: a Great Britain case study. Soil Use and Management 20: 240-247</t>
  </si>
  <si>
    <t>MJ/tonne (column K)</t>
  </si>
  <si>
    <t>N (kg/tonne) (column N)</t>
  </si>
  <si>
    <t xml:space="preserve">Cooper, T., Hart, K. and Baldock, D. (2009) The Provision of Public Goods Through AgricultB81:B87ure in the European Union, Report Prepared for DG Agriculture and Rural Development, Contract No 30-CE-0233091/00-28, Institute for European Environmental Policy: London. </t>
  </si>
  <si>
    <t>Adger et al (1992) Carbon dynamics of land use in Great Britain. Journal of Environmental Management 36 (2): 117-133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</si>
</sst>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
    <numFmt numFmtId="167" formatCode="00"/>
    <numFmt numFmtId="168" formatCode="0.0%"/>
    <numFmt numFmtId="169" formatCode="0.000"/>
    <numFmt numFmtId="170" formatCode="_-* #,##0_-;\-* #,##0_-;_-* &quot;-&quot;??_-;_-@_-"/>
    <numFmt numFmtId="171" formatCode="0.0000"/>
    <numFmt numFmtId="172" formatCode="0.00000"/>
  </numFmts>
  <fonts count="66">
    <font>
      <sz val="11"/>
      <color theme="1"/>
      <name val="Calibri"/>
      <family val="2"/>
      <scheme val="minor"/>
    </font>
    <font>
      <sz val="10"/>
      <name val="Arial"/>
      <family val="2"/>
    </font>
    <font>
      <sz val="10"/>
      <name val="Arial"/>
      <family val="2"/>
    </font>
    <font>
      <sz val="8"/>
      <color indexed="81"/>
      <name val="Tahoma"/>
      <family val="2"/>
    </font>
    <font>
      <b/>
      <sz val="8"/>
      <color indexed="81"/>
      <name val="Tahoma"/>
      <family val="2"/>
    </font>
    <font>
      <b/>
      <sz val="10"/>
      <name val="Arial"/>
      <family val="2"/>
    </font>
    <font>
      <b/>
      <sz val="11"/>
      <color theme="1"/>
      <name val="Calibri"/>
      <family val="2"/>
      <scheme val="minor"/>
    </font>
    <font>
      <i/>
      <sz val="10"/>
      <name val="Arial"/>
      <family val="2"/>
    </font>
    <font>
      <sz val="11"/>
      <color theme="1"/>
      <name val="Calibri"/>
      <family val="2"/>
      <scheme val="minor"/>
    </font>
    <font>
      <b/>
      <i/>
      <sz val="10"/>
      <name val="Arial"/>
      <family val="2"/>
    </font>
    <font>
      <b/>
      <i/>
      <sz val="11"/>
      <color theme="1"/>
      <name val="Calibri"/>
      <family val="2"/>
      <scheme val="minor"/>
    </font>
    <font>
      <u/>
      <sz val="9.35"/>
      <color theme="10"/>
      <name val="Calibri"/>
      <family val="2"/>
    </font>
    <font>
      <sz val="11"/>
      <name val="Calibri"/>
      <family val="2"/>
      <scheme val="minor"/>
    </font>
    <font>
      <sz val="10"/>
      <color theme="1"/>
      <name val="Arial"/>
      <family val="2"/>
    </font>
    <font>
      <u/>
      <sz val="11"/>
      <color theme="1"/>
      <name val="Calibri"/>
      <family val="2"/>
      <scheme val="minor"/>
    </font>
    <font>
      <b/>
      <vertAlign val="superscript"/>
      <sz val="11"/>
      <color theme="1"/>
      <name val="Calibri"/>
      <family val="2"/>
      <scheme val="minor"/>
    </font>
    <font>
      <i/>
      <sz val="11"/>
      <color theme="1"/>
      <name val="Calibri"/>
      <family val="2"/>
      <scheme val="minor"/>
    </font>
    <font>
      <sz val="11"/>
      <color rgb="FF000000"/>
      <name val="Calibri"/>
      <family val="2"/>
      <scheme val="minor"/>
    </font>
    <font>
      <vertAlign val="superscript"/>
      <sz val="11"/>
      <color theme="1"/>
      <name val="Calibri"/>
      <family val="2"/>
      <scheme val="minor"/>
    </font>
    <font>
      <sz val="9"/>
      <name val="Arial"/>
      <family val="2"/>
    </font>
    <font>
      <sz val="8"/>
      <name val="Arial"/>
      <family val="2"/>
    </font>
    <font>
      <sz val="10"/>
      <color rgb="FFFF0000"/>
      <name val="Arial"/>
      <family val="2"/>
    </font>
    <font>
      <sz val="10"/>
      <name val="Times New Roman"/>
      <family val="1"/>
    </font>
    <font>
      <sz val="12"/>
      <name val="Arial"/>
      <family val="2"/>
    </font>
    <font>
      <sz val="10"/>
      <color indexed="8"/>
      <name val="Arial"/>
      <family val="2"/>
    </font>
    <font>
      <sz val="10"/>
      <color indexed="10"/>
      <name val="Arial"/>
      <family val="2"/>
    </font>
    <font>
      <sz val="10"/>
      <name val="Geneva"/>
      <family val="2"/>
    </font>
    <font>
      <u/>
      <sz val="10"/>
      <color indexed="12"/>
      <name val="Arial"/>
      <family val="2"/>
    </font>
    <font>
      <u/>
      <sz val="10"/>
      <color indexed="10"/>
      <name val="Arial"/>
      <family val="2"/>
    </font>
    <font>
      <sz val="10"/>
      <color indexed="9"/>
      <name val="Arial"/>
      <family val="2"/>
    </font>
    <font>
      <b/>
      <sz val="10"/>
      <color indexed="10"/>
      <name val="Arial"/>
      <family val="2"/>
    </font>
    <font>
      <b/>
      <sz val="12"/>
      <color theme="1"/>
      <name val="Calibri"/>
      <family val="2"/>
      <scheme val="minor"/>
    </font>
    <font>
      <b/>
      <sz val="10"/>
      <color rgb="FFFF0000"/>
      <name val="Arial"/>
      <family val="2"/>
    </font>
    <font>
      <b/>
      <sz val="9"/>
      <color indexed="81"/>
      <name val="Tahoma"/>
      <family val="2"/>
    </font>
    <font>
      <sz val="9"/>
      <color indexed="81"/>
      <name val="Tahoma"/>
      <family val="2"/>
    </font>
    <font>
      <sz val="10"/>
      <color theme="1"/>
      <name val="Calibri"/>
      <family val="2"/>
      <scheme val="minor"/>
    </font>
    <font>
      <b/>
      <sz val="10"/>
      <color indexed="12"/>
      <name val="Arial"/>
      <family val="2"/>
    </font>
    <font>
      <i/>
      <sz val="9"/>
      <name val="Arial"/>
      <family val="2"/>
    </font>
    <font>
      <i/>
      <sz val="9"/>
      <color theme="1"/>
      <name val="Calibri"/>
      <family val="2"/>
      <scheme val="minor"/>
    </font>
    <font>
      <i/>
      <sz val="9"/>
      <color theme="1"/>
      <name val="Arial"/>
      <family val="2"/>
    </font>
    <font>
      <b/>
      <vertAlign val="subscript"/>
      <sz val="11"/>
      <color theme="1"/>
      <name val="Calibri"/>
      <family val="2"/>
      <scheme val="minor"/>
    </font>
    <font>
      <vertAlign val="subscript"/>
      <sz val="11"/>
      <color theme="1"/>
      <name val="Calibri"/>
      <family val="2"/>
      <scheme val="minor"/>
    </font>
    <font>
      <b/>
      <sz val="9"/>
      <name val="Calibri"/>
      <family val="2"/>
      <scheme val="minor"/>
    </font>
    <font>
      <sz val="9"/>
      <name val="Calibri"/>
      <family val="2"/>
      <scheme val="minor"/>
    </font>
    <font>
      <sz val="9"/>
      <color rgb="FF000000"/>
      <name val="Verdana"/>
      <family val="2"/>
    </font>
    <font>
      <sz val="11"/>
      <name val="Arial"/>
      <family val="2"/>
    </font>
    <font>
      <b/>
      <sz val="11"/>
      <name val="Arial"/>
      <family val="2"/>
    </font>
    <font>
      <sz val="11"/>
      <color rgb="FFFF0000"/>
      <name val="Calibri"/>
      <family val="2"/>
      <scheme val="minor"/>
    </font>
    <font>
      <b/>
      <sz val="11"/>
      <name val="Calibri"/>
      <family val="2"/>
      <scheme val="minor"/>
    </font>
    <font>
      <b/>
      <sz val="9"/>
      <name val="Arial"/>
      <family val="2"/>
    </font>
    <font>
      <b/>
      <sz val="10"/>
      <color theme="1"/>
      <name val="Arial"/>
      <family val="2"/>
    </font>
    <font>
      <b/>
      <sz val="11"/>
      <color rgb="FFFF0000"/>
      <name val="Calibri"/>
      <family val="2"/>
      <scheme val="minor"/>
    </font>
    <font>
      <b/>
      <vertAlign val="superscript"/>
      <sz val="10"/>
      <name val="Arial"/>
      <family val="2"/>
    </font>
    <font>
      <b/>
      <sz val="12"/>
      <color theme="1"/>
      <name val="Arial"/>
      <family val="2"/>
    </font>
    <font>
      <b/>
      <sz val="18"/>
      <color rgb="FF99CC00"/>
      <name val="Calibri"/>
      <family val="2"/>
      <scheme val="minor"/>
    </font>
    <font>
      <b/>
      <sz val="10"/>
      <color theme="0"/>
      <name val="Arial"/>
      <family val="2"/>
    </font>
    <font>
      <sz val="11"/>
      <color theme="1"/>
      <name val="Arial"/>
      <family val="2"/>
    </font>
    <font>
      <b/>
      <vertAlign val="subscript"/>
      <sz val="10"/>
      <name val="Arial"/>
      <family val="2"/>
    </font>
    <font>
      <vertAlign val="subscript"/>
      <sz val="10"/>
      <color theme="1"/>
      <name val="Arial"/>
      <family val="2"/>
    </font>
    <font>
      <b/>
      <sz val="22"/>
      <color rgb="FF99CC00"/>
      <name val="Calibri"/>
      <family val="2"/>
      <scheme val="minor"/>
    </font>
    <font>
      <b/>
      <sz val="22"/>
      <color rgb="FF99CC00"/>
      <name val="Arial"/>
      <family val="2"/>
    </font>
    <font>
      <b/>
      <sz val="12"/>
      <name val="Arial"/>
      <family val="2"/>
    </font>
    <font>
      <vertAlign val="subscript"/>
      <sz val="10"/>
      <name val="Arial"/>
      <family val="2"/>
    </font>
    <font>
      <sz val="11"/>
      <name val="Calibri"/>
      <family val="2"/>
    </font>
    <font>
      <b/>
      <u/>
      <sz val="16"/>
      <color theme="1"/>
      <name val="Calibri"/>
      <family val="2"/>
      <scheme val="minor"/>
    </font>
    <font>
      <sz val="48"/>
      <color rgb="FF99CC00"/>
      <name val="Calibri"/>
      <family val="2"/>
      <scheme val="minor"/>
    </font>
  </fonts>
  <fills count="2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rgb="FF7030A0"/>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9"/>
        <bgColor indexed="64"/>
      </patternFill>
    </fill>
    <fill>
      <patternFill patternType="solid">
        <fgColor theme="3" tint="0.79998168889431442"/>
        <bgColor indexed="64"/>
      </patternFill>
    </fill>
    <fill>
      <patternFill patternType="solid">
        <fgColor rgb="FFCCFFCC"/>
        <bgColor indexed="64"/>
      </patternFill>
    </fill>
    <fill>
      <patternFill patternType="solid">
        <fgColor rgb="FF99CC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5999938962981048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diagonal/>
    </border>
    <border>
      <left/>
      <right/>
      <top/>
      <bottom style="double">
        <color indexed="64"/>
      </bottom>
      <diagonal/>
    </border>
    <border>
      <left/>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style="medium">
        <color theme="1"/>
      </top>
      <bottom style="medium">
        <color theme="1"/>
      </bottom>
      <diagonal/>
    </border>
    <border>
      <left/>
      <right/>
      <top/>
      <bottom style="medium">
        <color theme="1"/>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right/>
      <top style="medium">
        <color theme="1"/>
      </top>
      <bottom/>
      <diagonal/>
    </border>
    <border>
      <left style="medium">
        <color theme="1"/>
      </left>
      <right/>
      <top style="thin">
        <color theme="1"/>
      </top>
      <bottom/>
      <diagonal/>
    </border>
    <border>
      <left/>
      <right style="medium">
        <color theme="1"/>
      </right>
      <top style="thin">
        <color theme="1"/>
      </top>
      <bottom/>
      <diagonal/>
    </border>
    <border>
      <left style="medium">
        <color theme="1"/>
      </left>
      <right/>
      <top/>
      <bottom style="thin">
        <color theme="1"/>
      </bottom>
      <diagonal/>
    </border>
    <border>
      <left/>
      <right style="medium">
        <color theme="1"/>
      </right>
      <top/>
      <bottom style="thin">
        <color theme="1"/>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s>
  <cellStyleXfs count="19">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alignment vertical="top"/>
      <protection locked="0"/>
    </xf>
    <xf numFmtId="0" fontId="22" fillId="0" borderId="0"/>
    <xf numFmtId="0" fontId="26" fillId="0" borderId="0" applyBorder="0"/>
    <xf numFmtId="0" fontId="26" fillId="0" borderId="0" applyBorder="0"/>
    <xf numFmtId="0" fontId="26" fillId="0" borderId="0" applyBorder="0"/>
    <xf numFmtId="0" fontId="26" fillId="0" borderId="0" applyBorder="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5" fillId="0" borderId="0"/>
    <xf numFmtId="0" fontId="45"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1117">
    <xf numFmtId="0" fontId="0" fillId="0" borderId="0" xfId="0"/>
    <xf numFmtId="0" fontId="0" fillId="4" borderId="0" xfId="0" applyFill="1"/>
    <xf numFmtId="0" fontId="1" fillId="0" borderId="0" xfId="1"/>
    <xf numFmtId="0" fontId="5" fillId="2" borderId="0" xfId="1" applyFont="1" applyFill="1" applyAlignment="1">
      <alignment horizontal="left" wrapText="1"/>
    </xf>
    <xf numFmtId="0" fontId="5" fillId="3" borderId="3" xfId="1" applyFont="1" applyFill="1" applyBorder="1" applyAlignment="1">
      <alignment horizontal="left"/>
    </xf>
    <xf numFmtId="0" fontId="0" fillId="4" borderId="0" xfId="0" applyFill="1" applyAlignment="1">
      <alignment horizontal="right"/>
    </xf>
    <xf numFmtId="1" fontId="0" fillId="0" borderId="0" xfId="0" applyNumberFormat="1"/>
    <xf numFmtId="0" fontId="6" fillId="0" borderId="0" xfId="0" applyFont="1"/>
    <xf numFmtId="0" fontId="0" fillId="5" borderId="0" xfId="0" applyFill="1"/>
    <xf numFmtId="0" fontId="6" fillId="4" borderId="0" xfId="0" applyFont="1" applyFill="1"/>
    <xf numFmtId="0" fontId="1" fillId="0" borderId="0" xfId="1" applyAlignment="1">
      <alignment horizontal="left" wrapText="1"/>
    </xf>
    <xf numFmtId="2" fontId="2" fillId="0" borderId="0" xfId="1" applyNumberFormat="1" applyFont="1" applyAlignment="1">
      <alignment horizontal="left" wrapText="1"/>
    </xf>
    <xf numFmtId="0" fontId="2" fillId="0" borderId="0" xfId="1" applyFont="1" applyAlignment="1">
      <alignment horizontal="left" wrapText="1"/>
    </xf>
    <xf numFmtId="0" fontId="5" fillId="0" borderId="0" xfId="1" applyFont="1" applyAlignment="1">
      <alignment horizontal="left" wrapText="1"/>
    </xf>
    <xf numFmtId="0" fontId="14" fillId="0" borderId="0" xfId="0" applyFont="1"/>
    <xf numFmtId="0" fontId="0" fillId="4" borderId="0" xfId="0" applyFill="1" applyAlignment="1">
      <alignment horizontal="left"/>
    </xf>
    <xf numFmtId="0" fontId="5" fillId="0" borderId="0" xfId="1" applyFont="1" applyAlignment="1">
      <alignment horizontal="left"/>
    </xf>
    <xf numFmtId="0" fontId="2" fillId="0" borderId="0" xfId="1" applyFont="1" applyAlignment="1">
      <alignment horizontal="center" wrapText="1"/>
    </xf>
    <xf numFmtId="0" fontId="5" fillId="3" borderId="3" xfId="1" applyFont="1" applyFill="1" applyBorder="1"/>
    <xf numFmtId="164" fontId="0" fillId="4" borderId="0" xfId="0" applyNumberFormat="1" applyFill="1"/>
    <xf numFmtId="3" fontId="0" fillId="0" borderId="0" xfId="0" applyNumberFormat="1"/>
    <xf numFmtId="0" fontId="6" fillId="4" borderId="3" xfId="0" applyFont="1" applyFill="1" applyBorder="1"/>
    <xf numFmtId="16" fontId="0" fillId="4" borderId="0" xfId="0" applyNumberFormat="1" applyFill="1" applyAlignment="1">
      <alignment horizontal="left"/>
    </xf>
    <xf numFmtId="0" fontId="1" fillId="0" borderId="0" xfId="1" applyAlignment="1">
      <alignment horizontal="right" wrapText="1"/>
    </xf>
    <xf numFmtId="1" fontId="0" fillId="4" borderId="0" xfId="0" applyNumberFormat="1" applyFill="1" applyAlignment="1">
      <alignment horizontal="left"/>
    </xf>
    <xf numFmtId="0" fontId="0" fillId="0" borderId="0" xfId="0" applyProtection="1">
      <protection locked="0"/>
    </xf>
    <xf numFmtId="0" fontId="0" fillId="8" borderId="0" xfId="0" applyFill="1" applyProtection="1">
      <protection locked="0"/>
    </xf>
    <xf numFmtId="0" fontId="5" fillId="7" borderId="0" xfId="1" applyFont="1" applyFill="1" applyAlignment="1">
      <alignment horizontal="left" wrapText="1"/>
    </xf>
    <xf numFmtId="0" fontId="0" fillId="7" borderId="0" xfId="0" applyFill="1"/>
    <xf numFmtId="0" fontId="1" fillId="7" borderId="0" xfId="1" applyFill="1" applyAlignment="1">
      <alignment horizontal="left" wrapText="1"/>
    </xf>
    <xf numFmtId="0" fontId="1" fillId="7" borderId="0" xfId="1" applyFill="1" applyAlignment="1">
      <alignment horizontal="right" wrapText="1"/>
    </xf>
    <xf numFmtId="0" fontId="5" fillId="7" borderId="0" xfId="1" applyFont="1" applyFill="1" applyAlignment="1">
      <alignment horizontal="right" wrapText="1"/>
    </xf>
    <xf numFmtId="0" fontId="1" fillId="7" borderId="0" xfId="1" applyFill="1" applyAlignment="1">
      <alignment horizontal="left"/>
    </xf>
    <xf numFmtId="0" fontId="5" fillId="7" borderId="0" xfId="1" applyFont="1" applyFill="1" applyAlignment="1">
      <alignment horizontal="left"/>
    </xf>
    <xf numFmtId="0" fontId="6" fillId="7" borderId="0" xfId="0" applyFont="1" applyFill="1"/>
    <xf numFmtId="0" fontId="0" fillId="7" borderId="0" xfId="0" applyFill="1" applyAlignment="1">
      <alignment horizontal="center"/>
    </xf>
    <xf numFmtId="0" fontId="7" fillId="7" borderId="0" xfId="1" applyFont="1" applyFill="1" applyAlignment="1">
      <alignment horizontal="left"/>
    </xf>
    <xf numFmtId="0" fontId="5" fillId="7" borderId="2" xfId="1" applyFont="1" applyFill="1" applyBorder="1" applyAlignment="1">
      <alignment wrapText="1"/>
    </xf>
    <xf numFmtId="0" fontId="5" fillId="7" borderId="0" xfId="1" applyFont="1" applyFill="1" applyAlignment="1">
      <alignment wrapText="1"/>
    </xf>
    <xf numFmtId="0" fontId="7" fillId="7" borderId="0" xfId="1" applyFont="1" applyFill="1" applyAlignment="1">
      <alignment horizontal="left" wrapText="1"/>
    </xf>
    <xf numFmtId="0" fontId="5" fillId="7" borderId="3" xfId="1" applyFont="1" applyFill="1" applyBorder="1" applyAlignment="1">
      <alignment horizontal="left" wrapText="1"/>
    </xf>
    <xf numFmtId="1" fontId="1" fillId="0" borderId="0" xfId="1" applyNumberFormat="1" applyProtection="1">
      <protection locked="0"/>
    </xf>
    <xf numFmtId="2" fontId="0" fillId="0" borderId="0" xfId="0" applyNumberFormat="1" applyProtection="1">
      <protection locked="0"/>
    </xf>
    <xf numFmtId="2" fontId="1" fillId="0" borderId="0" xfId="1" applyNumberFormat="1" applyProtection="1">
      <protection locked="0"/>
    </xf>
    <xf numFmtId="0" fontId="5" fillId="7" borderId="0" xfId="1" applyFont="1" applyFill="1" applyAlignment="1">
      <alignment horizontal="center" wrapText="1"/>
    </xf>
    <xf numFmtId="1" fontId="0" fillId="6" borderId="0" xfId="0" applyNumberFormat="1" applyFill="1"/>
    <xf numFmtId="0" fontId="1" fillId="7" borderId="0" xfId="1" applyFill="1" applyAlignment="1">
      <alignment horizontal="right"/>
    </xf>
    <xf numFmtId="0" fontId="1" fillId="7" borderId="0" xfId="1" applyFill="1" applyAlignment="1">
      <alignment wrapText="1"/>
    </xf>
    <xf numFmtId="0" fontId="0" fillId="4" borderId="0" xfId="0" applyFill="1" applyAlignment="1">
      <alignment wrapText="1"/>
    </xf>
    <xf numFmtId="17" fontId="0" fillId="4" borderId="0" xfId="0" applyNumberFormat="1" applyFill="1"/>
    <xf numFmtId="3" fontId="0" fillId="5" borderId="0" xfId="0" applyNumberFormat="1" applyFill="1" applyAlignment="1">
      <alignment horizontal="right"/>
    </xf>
    <xf numFmtId="3" fontId="6" fillId="5" borderId="0" xfId="0" applyNumberFormat="1" applyFont="1" applyFill="1" applyAlignment="1">
      <alignment horizontal="right"/>
    </xf>
    <xf numFmtId="3" fontId="0" fillId="7" borderId="0" xfId="0" applyNumberFormat="1" applyFill="1" applyAlignment="1">
      <alignment horizontal="right"/>
    </xf>
    <xf numFmtId="0" fontId="0" fillId="0" borderId="0" xfId="0" applyAlignment="1">
      <alignment horizontal="left" wrapText="1"/>
    </xf>
    <xf numFmtId="0" fontId="0" fillId="0" borderId="0" xfId="0" applyAlignment="1">
      <alignment wrapText="1"/>
    </xf>
    <xf numFmtId="0" fontId="5" fillId="3" borderId="3" xfId="1" applyFont="1" applyFill="1" applyBorder="1" applyAlignment="1">
      <alignment horizontal="left" wrapText="1"/>
    </xf>
    <xf numFmtId="0" fontId="0" fillId="11" borderId="0" xfId="0" applyFill="1"/>
    <xf numFmtId="0" fontId="6" fillId="11" borderId="0" xfId="0" applyFont="1" applyFill="1"/>
    <xf numFmtId="1" fontId="0" fillId="0" borderId="0" xfId="0" applyNumberFormat="1" applyProtection="1">
      <protection locked="0"/>
    </xf>
    <xf numFmtId="1" fontId="5" fillId="3" borderId="3" xfId="1" applyNumberFormat="1" applyFont="1" applyFill="1" applyBorder="1" applyAlignment="1">
      <alignment horizontal="center" wrapText="1"/>
    </xf>
    <xf numFmtId="0" fontId="0" fillId="7" borderId="0" xfId="0" applyFill="1" applyAlignment="1">
      <alignment horizontal="right" wrapText="1"/>
    </xf>
    <xf numFmtId="0" fontId="2" fillId="7" borderId="0" xfId="1" applyFont="1" applyFill="1" applyAlignment="1">
      <alignment horizontal="left" wrapText="1"/>
    </xf>
    <xf numFmtId="0" fontId="5" fillId="7" borderId="0" xfId="1" applyFont="1" applyFill="1"/>
    <xf numFmtId="0" fontId="6" fillId="0" borderId="0" xfId="0" applyFont="1" applyAlignment="1">
      <alignment horizontal="right"/>
    </xf>
    <xf numFmtId="3" fontId="6" fillId="0" borderId="0" xfId="0" applyNumberFormat="1" applyFont="1"/>
    <xf numFmtId="3" fontId="5" fillId="7" borderId="0" xfId="1" applyNumberFormat="1" applyFont="1" applyFill="1" applyAlignment="1">
      <alignment horizontal="left"/>
    </xf>
    <xf numFmtId="3" fontId="2" fillId="7" borderId="0" xfId="1" applyNumberFormat="1" applyFont="1" applyFill="1" applyAlignment="1">
      <alignment horizontal="left" wrapText="1"/>
    </xf>
    <xf numFmtId="3" fontId="1" fillId="7" borderId="0" xfId="1" applyNumberFormat="1" applyFill="1" applyAlignment="1">
      <alignment horizontal="left" wrapText="1"/>
    </xf>
    <xf numFmtId="3" fontId="0" fillId="7" borderId="0" xfId="0" applyNumberFormat="1" applyFill="1"/>
    <xf numFmtId="3" fontId="6" fillId="7" borderId="0" xfId="0" applyNumberFormat="1" applyFont="1" applyFill="1" applyAlignment="1">
      <alignment wrapText="1"/>
    </xf>
    <xf numFmtId="3" fontId="1" fillId="0" borderId="0" xfId="1" applyNumberFormat="1"/>
    <xf numFmtId="1" fontId="1" fillId="0" borderId="0" xfId="1" applyNumberFormat="1"/>
    <xf numFmtId="3" fontId="5" fillId="0" borderId="0" xfId="1" applyNumberFormat="1" applyFont="1"/>
    <xf numFmtId="0" fontId="0" fillId="8" borderId="0" xfId="0" applyFill="1"/>
    <xf numFmtId="0" fontId="0" fillId="8" borderId="0" xfId="0" applyFill="1" applyAlignment="1">
      <alignment horizontal="left"/>
    </xf>
    <xf numFmtId="0" fontId="5" fillId="8" borderId="0" xfId="1" applyFont="1" applyFill="1" applyAlignment="1">
      <alignment horizontal="left"/>
    </xf>
    <xf numFmtId="0" fontId="1" fillId="2" borderId="0" xfId="1" applyFill="1" applyAlignment="1">
      <alignment horizontal="left" wrapText="1"/>
    </xf>
    <xf numFmtId="0" fontId="0" fillId="6" borderId="0" xfId="0" applyFill="1"/>
    <xf numFmtId="0" fontId="6" fillId="0" borderId="0" xfId="0" applyFont="1" applyAlignment="1">
      <alignment horizontal="center"/>
    </xf>
    <xf numFmtId="3" fontId="19" fillId="2" borderId="0" xfId="1" applyNumberFormat="1" applyFont="1" applyFill="1" applyAlignment="1">
      <alignment horizontal="left"/>
    </xf>
    <xf numFmtId="0" fontId="6" fillId="0" borderId="0" xfId="0" applyFont="1" applyAlignment="1">
      <alignment horizontal="left"/>
    </xf>
    <xf numFmtId="164" fontId="2" fillId="8" borderId="0" xfId="1" applyNumberFormat="1" applyFont="1" applyFill="1" applyAlignment="1">
      <alignment horizontal="left" wrapText="1"/>
    </xf>
    <xf numFmtId="164" fontId="0" fillId="8" borderId="0" xfId="0" applyNumberFormat="1" applyFill="1"/>
    <xf numFmtId="164" fontId="0" fillId="8" borderId="0" xfId="0" applyNumberFormat="1" applyFill="1" applyAlignment="1">
      <alignment horizontal="left"/>
    </xf>
    <xf numFmtId="0" fontId="1" fillId="0" borderId="0" xfId="5" applyFont="1"/>
    <xf numFmtId="2" fontId="1" fillId="0" borderId="1" xfId="5" applyNumberFormat="1" applyFont="1" applyBorder="1"/>
    <xf numFmtId="1" fontId="1" fillId="0" borderId="1" xfId="5" applyNumberFormat="1" applyFont="1" applyBorder="1"/>
    <xf numFmtId="0" fontId="1" fillId="0" borderId="1" xfId="5" applyFont="1" applyBorder="1"/>
    <xf numFmtId="2" fontId="1" fillId="0" borderId="6" xfId="5" applyNumberFormat="1" applyFont="1" applyBorder="1"/>
    <xf numFmtId="1" fontId="1" fillId="0" borderId="6" xfId="5" applyNumberFormat="1" applyFont="1" applyBorder="1"/>
    <xf numFmtId="0" fontId="1" fillId="0" borderId="6" xfId="5" applyFont="1" applyBorder="1"/>
    <xf numFmtId="0" fontId="1" fillId="0" borderId="3" xfId="5" applyFont="1" applyBorder="1"/>
    <xf numFmtId="2" fontId="1" fillId="0" borderId="3" xfId="5" applyNumberFormat="1" applyFont="1" applyBorder="1"/>
    <xf numFmtId="1" fontId="1" fillId="0" borderId="3" xfId="5" applyNumberFormat="1" applyFont="1" applyBorder="1"/>
    <xf numFmtId="2" fontId="1" fillId="0" borderId="2" xfId="5" applyNumberFormat="1" applyFont="1" applyBorder="1"/>
    <xf numFmtId="1" fontId="1" fillId="0" borderId="2" xfId="5" applyNumberFormat="1" applyFont="1" applyBorder="1"/>
    <xf numFmtId="0" fontId="1" fillId="0" borderId="2" xfId="5" applyFont="1" applyBorder="1"/>
    <xf numFmtId="2" fontId="1" fillId="0" borderId="7" xfId="5" applyNumberFormat="1" applyFont="1" applyBorder="1"/>
    <xf numFmtId="1" fontId="1" fillId="0" borderId="7" xfId="5" applyNumberFormat="1" applyFont="1" applyBorder="1"/>
    <xf numFmtId="0" fontId="1" fillId="0" borderId="7" xfId="5" applyFont="1" applyBorder="1"/>
    <xf numFmtId="2" fontId="1" fillId="0" borderId="4" xfId="5" applyNumberFormat="1" applyFont="1" applyBorder="1"/>
    <xf numFmtId="1" fontId="1" fillId="0" borderId="4" xfId="5" applyNumberFormat="1" applyFont="1" applyBorder="1"/>
    <xf numFmtId="0" fontId="1" fillId="0" borderId="4" xfId="5" applyFont="1" applyBorder="1"/>
    <xf numFmtId="2" fontId="1" fillId="0" borderId="0" xfId="5" applyNumberFormat="1" applyFont="1"/>
    <xf numFmtId="2" fontId="1" fillId="0" borderId="8" xfId="5" applyNumberFormat="1" applyFont="1" applyBorder="1"/>
    <xf numFmtId="2" fontId="1" fillId="0" borderId="9" xfId="5" applyNumberFormat="1" applyFont="1" applyBorder="1"/>
    <xf numFmtId="0" fontId="1" fillId="0" borderId="9" xfId="5" applyFont="1" applyBorder="1"/>
    <xf numFmtId="2" fontId="1" fillId="0" borderId="10" xfId="5" applyNumberFormat="1" applyFont="1" applyBorder="1"/>
    <xf numFmtId="1" fontId="1" fillId="0" borderId="9" xfId="5" applyNumberFormat="1" applyFont="1" applyBorder="1"/>
    <xf numFmtId="2" fontId="1" fillId="0" borderId="11" xfId="5" applyNumberFormat="1" applyFont="1" applyBorder="1"/>
    <xf numFmtId="1" fontId="1" fillId="0" borderId="0" xfId="5" applyNumberFormat="1" applyFont="1"/>
    <xf numFmtId="0" fontId="23" fillId="0" borderId="12" xfId="0" applyFont="1" applyBorder="1" applyAlignment="1">
      <alignment vertical="top"/>
    </xf>
    <xf numFmtId="0" fontId="24" fillId="0" borderId="1" xfId="0" applyFont="1" applyBorder="1"/>
    <xf numFmtId="0" fontId="23" fillId="0" borderId="13" xfId="0" applyFont="1" applyBorder="1" applyAlignment="1">
      <alignment vertical="top"/>
    </xf>
    <xf numFmtId="0" fontId="1" fillId="0" borderId="10" xfId="5" applyFont="1" applyBorder="1"/>
    <xf numFmtId="0" fontId="1" fillId="0" borderId="14" xfId="5" applyFont="1" applyBorder="1"/>
    <xf numFmtId="0" fontId="24" fillId="0" borderId="10" xfId="5" applyFont="1" applyBorder="1"/>
    <xf numFmtId="0" fontId="25" fillId="0" borderId="3" xfId="5" applyFont="1" applyBorder="1"/>
    <xf numFmtId="0" fontId="1" fillId="0" borderId="0" xfId="0" applyFont="1"/>
    <xf numFmtId="0" fontId="1" fillId="0" borderId="5" xfId="5" applyFont="1" applyBorder="1"/>
    <xf numFmtId="0" fontId="1" fillId="0" borderId="8" xfId="5" applyFont="1" applyBorder="1"/>
    <xf numFmtId="0" fontId="24" fillId="0" borderId="5" xfId="5" applyFont="1" applyBorder="1"/>
    <xf numFmtId="0" fontId="25" fillId="0" borderId="0" xfId="5" applyFont="1"/>
    <xf numFmtId="49" fontId="1" fillId="0" borderId="0" xfId="5" applyNumberFormat="1" applyFont="1"/>
    <xf numFmtId="0" fontId="1" fillId="0" borderId="15" xfId="5" applyFont="1" applyBorder="1"/>
    <xf numFmtId="0" fontId="1" fillId="0" borderId="16" xfId="5" applyFont="1" applyBorder="1"/>
    <xf numFmtId="49" fontId="1" fillId="0" borderId="14" xfId="5" applyNumberFormat="1" applyFont="1" applyBorder="1"/>
    <xf numFmtId="49" fontId="1" fillId="0" borderId="9" xfId="5" applyNumberFormat="1" applyFont="1" applyBorder="1"/>
    <xf numFmtId="0" fontId="1" fillId="0" borderId="11" xfId="5" applyFont="1" applyBorder="1"/>
    <xf numFmtId="164" fontId="1" fillId="0" borderId="9" xfId="6" applyNumberFormat="1" applyFont="1" applyBorder="1" applyProtection="1">
      <protection locked="0"/>
    </xf>
    <xf numFmtId="0" fontId="1" fillId="0" borderId="1" xfId="7" applyFont="1" applyBorder="1"/>
    <xf numFmtId="0" fontId="1" fillId="0" borderId="11" xfId="7" applyFont="1" applyBorder="1"/>
    <xf numFmtId="0" fontId="1" fillId="0" borderId="0" xfId="7" applyFont="1"/>
    <xf numFmtId="0" fontId="24" fillId="0" borderId="17" xfId="0" applyFont="1" applyBorder="1"/>
    <xf numFmtId="1" fontId="1" fillId="0" borderId="1" xfId="6" applyNumberFormat="1" applyFont="1" applyBorder="1" applyProtection="1">
      <protection locked="0"/>
    </xf>
    <xf numFmtId="0" fontId="1" fillId="0" borderId="18" xfId="0" applyFont="1" applyBorder="1"/>
    <xf numFmtId="0" fontId="1" fillId="0" borderId="10" xfId="7" applyFont="1" applyBorder="1"/>
    <xf numFmtId="0" fontId="1" fillId="0" borderId="5" xfId="0" applyFont="1" applyBorder="1"/>
    <xf numFmtId="0" fontId="5" fillId="0" borderId="0" xfId="5" applyFont="1"/>
    <xf numFmtId="0" fontId="1" fillId="0" borderId="5" xfId="7" applyFont="1" applyBorder="1"/>
    <xf numFmtId="0" fontId="25" fillId="0" borderId="11" xfId="5" applyFont="1" applyBorder="1"/>
    <xf numFmtId="0" fontId="25" fillId="0" borderId="4" xfId="5" applyFont="1" applyBorder="1"/>
    <xf numFmtId="0" fontId="25" fillId="0" borderId="10" xfId="5" applyFont="1" applyBorder="1"/>
    <xf numFmtId="0" fontId="1" fillId="0" borderId="10" xfId="8" applyFont="1" applyBorder="1"/>
    <xf numFmtId="166" fontId="1" fillId="0" borderId="7" xfId="8" applyNumberFormat="1" applyFont="1" applyBorder="1"/>
    <xf numFmtId="0" fontId="1" fillId="0" borderId="15" xfId="7" applyFont="1" applyBorder="1"/>
    <xf numFmtId="0" fontId="1" fillId="0" borderId="9" xfId="8" applyFont="1" applyBorder="1"/>
    <xf numFmtId="166" fontId="1" fillId="0" borderId="7" xfId="5" applyNumberFormat="1" applyFont="1" applyBorder="1"/>
    <xf numFmtId="164" fontId="1" fillId="0" borderId="1" xfId="6" applyNumberFormat="1" applyFont="1" applyBorder="1" applyProtection="1">
      <protection locked="0"/>
    </xf>
    <xf numFmtId="1" fontId="1" fillId="0" borderId="10" xfId="5" applyNumberFormat="1" applyFont="1" applyBorder="1"/>
    <xf numFmtId="0" fontId="24" fillId="0" borderId="15" xfId="5" applyFont="1" applyBorder="1"/>
    <xf numFmtId="0" fontId="25" fillId="0" borderId="2" xfId="5" applyFont="1" applyBorder="1"/>
    <xf numFmtId="0" fontId="1" fillId="0" borderId="5" xfId="6" applyFont="1" applyBorder="1"/>
    <xf numFmtId="0" fontId="1" fillId="0" borderId="8" xfId="6" applyFont="1" applyBorder="1"/>
    <xf numFmtId="0" fontId="1" fillId="0" borderId="0" xfId="6" applyFont="1"/>
    <xf numFmtId="164" fontId="1" fillId="0" borderId="5" xfId="5" applyNumberFormat="1" applyFont="1" applyBorder="1"/>
    <xf numFmtId="0" fontId="1" fillId="0" borderId="15" xfId="6" applyFont="1" applyBorder="1"/>
    <xf numFmtId="0" fontId="1" fillId="0" borderId="16" xfId="6" applyFont="1" applyBorder="1"/>
    <xf numFmtId="0" fontId="1" fillId="0" borderId="10" xfId="6" applyFont="1" applyBorder="1"/>
    <xf numFmtId="167" fontId="1" fillId="0" borderId="1" xfId="6" applyNumberFormat="1" applyFont="1" applyBorder="1"/>
    <xf numFmtId="166" fontId="1" fillId="0" borderId="14" xfId="5" applyNumberFormat="1" applyFont="1" applyBorder="1"/>
    <xf numFmtId="2" fontId="1" fillId="0" borderId="19" xfId="5" applyNumberFormat="1" applyFont="1" applyBorder="1"/>
    <xf numFmtId="0" fontId="1" fillId="0" borderId="19" xfId="5" applyFont="1" applyBorder="1"/>
    <xf numFmtId="167" fontId="1" fillId="0" borderId="0" xfId="9" applyNumberFormat="1" applyFont="1"/>
    <xf numFmtId="0" fontId="1" fillId="0" borderId="0" xfId="9" applyFont="1"/>
    <xf numFmtId="1" fontId="1" fillId="0" borderId="7" xfId="9" applyNumberFormat="1" applyFont="1" applyBorder="1"/>
    <xf numFmtId="0" fontId="1" fillId="0" borderId="14" xfId="9" applyFont="1" applyBorder="1"/>
    <xf numFmtId="0" fontId="1" fillId="0" borderId="1" xfId="9" applyFont="1" applyBorder="1"/>
    <xf numFmtId="0" fontId="1" fillId="0" borderId="9" xfId="6" applyFont="1" applyBorder="1"/>
    <xf numFmtId="0" fontId="1" fillId="0" borderId="2" xfId="9" applyFont="1" applyBorder="1"/>
    <xf numFmtId="0" fontId="1" fillId="0" borderId="11" xfId="9" applyFont="1" applyBorder="1"/>
    <xf numFmtId="0" fontId="1" fillId="0" borderId="9" xfId="9" applyFont="1" applyBorder="1"/>
    <xf numFmtId="0" fontId="24" fillId="0" borderId="0" xfId="5" applyFont="1"/>
    <xf numFmtId="1" fontId="24" fillId="0" borderId="1" xfId="5" applyNumberFormat="1" applyFont="1" applyBorder="1"/>
    <xf numFmtId="0" fontId="24" fillId="0" borderId="1" xfId="5" applyFont="1" applyBorder="1"/>
    <xf numFmtId="164" fontId="1" fillId="0" borderId="1" xfId="5" applyNumberFormat="1" applyFont="1" applyBorder="1"/>
    <xf numFmtId="1" fontId="24" fillId="0" borderId="10" xfId="5" applyNumberFormat="1" applyFont="1" applyBorder="1"/>
    <xf numFmtId="164" fontId="1" fillId="0" borderId="7" xfId="5" applyNumberFormat="1" applyFont="1" applyBorder="1"/>
    <xf numFmtId="0" fontId="24" fillId="0" borderId="11" xfId="5" applyFont="1" applyBorder="1"/>
    <xf numFmtId="0" fontId="1" fillId="0" borderId="1" xfId="0" applyFont="1" applyBorder="1"/>
    <xf numFmtId="2" fontId="1" fillId="0" borderId="0" xfId="5" applyNumberFormat="1" applyFont="1" applyAlignment="1">
      <alignment vertical="top"/>
    </xf>
    <xf numFmtId="0" fontId="1" fillId="0" borderId="0" xfId="5" applyFont="1" applyAlignment="1">
      <alignment vertical="top"/>
    </xf>
    <xf numFmtId="164" fontId="1" fillId="0" borderId="0" xfId="5" applyNumberFormat="1" applyFont="1"/>
    <xf numFmtId="0" fontId="27" fillId="0" borderId="0" xfId="4" applyFont="1" applyAlignment="1" applyProtection="1"/>
    <xf numFmtId="0" fontId="28" fillId="0" borderId="0" xfId="4" applyFont="1" applyAlignment="1" applyProtection="1"/>
    <xf numFmtId="0" fontId="1" fillId="0" borderId="0" xfId="5" applyFont="1" applyAlignment="1">
      <alignment horizontal="left"/>
    </xf>
    <xf numFmtId="0" fontId="1" fillId="0" borderId="0" xfId="0" applyFont="1" applyAlignment="1">
      <alignment horizontal="left"/>
    </xf>
    <xf numFmtId="2" fontId="1" fillId="0" borderId="0" xfId="5" applyNumberFormat="1" applyFont="1" applyAlignment="1">
      <alignment horizontal="left"/>
    </xf>
    <xf numFmtId="164" fontId="1" fillId="0" borderId="0" xfId="5" applyNumberFormat="1" applyFont="1" applyAlignment="1">
      <alignment horizontal="left"/>
    </xf>
    <xf numFmtId="0" fontId="1" fillId="0" borderId="5" xfId="5" applyFont="1" applyBorder="1" applyAlignment="1">
      <alignment horizontal="left"/>
    </xf>
    <xf numFmtId="0" fontId="1" fillId="0" borderId="8" xfId="5" applyFont="1" applyBorder="1" applyAlignment="1">
      <alignment horizontal="left"/>
    </xf>
    <xf numFmtId="0" fontId="1" fillId="0" borderId="15" xfId="5" applyFont="1" applyBorder="1" applyAlignment="1">
      <alignment horizontal="left"/>
    </xf>
    <xf numFmtId="0" fontId="25" fillId="0" borderId="2" xfId="5" applyFont="1" applyBorder="1" applyAlignment="1">
      <alignment horizontal="left"/>
    </xf>
    <xf numFmtId="0" fontId="1" fillId="0" borderId="2" xfId="5" applyFont="1" applyBorder="1" applyAlignment="1">
      <alignment horizontal="left"/>
    </xf>
    <xf numFmtId="0" fontId="1" fillId="0" borderId="16" xfId="5" applyFont="1" applyBorder="1" applyAlignment="1">
      <alignment horizontal="left"/>
    </xf>
    <xf numFmtId="2" fontId="1" fillId="0" borderId="19" xfId="5" applyNumberFormat="1" applyFont="1" applyBorder="1" applyAlignment="1">
      <alignment horizontal="left"/>
    </xf>
    <xf numFmtId="0" fontId="1" fillId="0" borderId="19" xfId="5" applyFont="1" applyBorder="1" applyAlignment="1">
      <alignment horizontal="left"/>
    </xf>
    <xf numFmtId="2" fontId="1" fillId="0" borderId="1" xfId="5" applyNumberFormat="1" applyFont="1" applyBorder="1" applyAlignment="1">
      <alignment horizontal="left"/>
    </xf>
    <xf numFmtId="1" fontId="24" fillId="0" borderId="10" xfId="5" applyNumberFormat="1" applyFont="1" applyBorder="1" applyAlignment="1">
      <alignment horizontal="left"/>
    </xf>
    <xf numFmtId="0" fontId="1" fillId="0" borderId="10" xfId="5" applyFont="1" applyBorder="1" applyAlignment="1">
      <alignment horizontal="left"/>
    </xf>
    <xf numFmtId="0" fontId="1" fillId="0" borderId="7" xfId="5" applyFont="1" applyBorder="1" applyAlignment="1">
      <alignment horizontal="left"/>
    </xf>
    <xf numFmtId="0" fontId="1" fillId="0" borderId="1" xfId="5" applyFont="1" applyBorder="1" applyAlignment="1">
      <alignment horizontal="left"/>
    </xf>
    <xf numFmtId="2" fontId="1" fillId="0" borderId="7" xfId="5" applyNumberFormat="1" applyFont="1" applyBorder="1" applyAlignment="1">
      <alignment horizontal="left"/>
    </xf>
    <xf numFmtId="0" fontId="27" fillId="0" borderId="0" xfId="4" applyFont="1" applyAlignment="1" applyProtection="1">
      <alignment horizontal="left"/>
    </xf>
    <xf numFmtId="0" fontId="1" fillId="0" borderId="3" xfId="5" applyFont="1" applyBorder="1" applyAlignment="1">
      <alignment horizontal="left"/>
    </xf>
    <xf numFmtId="0" fontId="1" fillId="0" borderId="14" xfId="5" applyFont="1" applyBorder="1" applyAlignment="1">
      <alignment horizontal="left"/>
    </xf>
    <xf numFmtId="0" fontId="25" fillId="0" borderId="11" xfId="5" applyFont="1" applyBorder="1" applyAlignment="1">
      <alignment horizontal="left"/>
    </xf>
    <xf numFmtId="0" fontId="25" fillId="0" borderId="3" xfId="5" applyFont="1" applyBorder="1" applyAlignment="1">
      <alignment horizontal="left"/>
    </xf>
    <xf numFmtId="0" fontId="24" fillId="0" borderId="10" xfId="5" applyFont="1" applyBorder="1" applyAlignment="1">
      <alignment horizontal="left"/>
    </xf>
    <xf numFmtId="0" fontId="25" fillId="0" borderId="10" xfId="5" applyFont="1" applyBorder="1" applyAlignment="1">
      <alignment horizontal="left"/>
    </xf>
    <xf numFmtId="0" fontId="24" fillId="0" borderId="5" xfId="5" applyFont="1" applyBorder="1" applyAlignment="1">
      <alignment horizontal="left"/>
    </xf>
    <xf numFmtId="0" fontId="25" fillId="0" borderId="0" xfId="5" applyFont="1" applyAlignment="1">
      <alignment horizontal="left"/>
    </xf>
    <xf numFmtId="0" fontId="24" fillId="0" borderId="15" xfId="5" applyFont="1" applyBorder="1" applyAlignment="1">
      <alignment horizontal="left"/>
    </xf>
    <xf numFmtId="2" fontId="24" fillId="0" borderId="6" xfId="5" applyNumberFormat="1" applyFont="1" applyBorder="1" applyAlignment="1">
      <alignment horizontal="left"/>
    </xf>
    <xf numFmtId="0" fontId="24" fillId="0" borderId="6" xfId="5" applyFont="1" applyBorder="1" applyAlignment="1">
      <alignment horizontal="left"/>
    </xf>
    <xf numFmtId="0" fontId="1" fillId="0" borderId="9" xfId="5" applyFont="1" applyBorder="1" applyAlignment="1">
      <alignment horizontal="left"/>
    </xf>
    <xf numFmtId="0" fontId="1" fillId="0" borderId="6" xfId="5" applyFont="1" applyBorder="1" applyAlignment="1">
      <alignment horizontal="left"/>
    </xf>
    <xf numFmtId="0" fontId="29" fillId="0" borderId="6" xfId="5" applyFont="1" applyBorder="1" applyAlignment="1">
      <alignment horizontal="left"/>
    </xf>
    <xf numFmtId="1" fontId="25" fillId="0" borderId="6" xfId="5" applyNumberFormat="1" applyFont="1" applyBorder="1" applyAlignment="1">
      <alignment horizontal="left"/>
    </xf>
    <xf numFmtId="168" fontId="1" fillId="0" borderId="1" xfId="0" applyNumberFormat="1" applyFont="1" applyBorder="1" applyAlignment="1">
      <alignment horizontal="left"/>
    </xf>
    <xf numFmtId="164" fontId="24" fillId="0" borderId="1" xfId="0" applyNumberFormat="1" applyFont="1" applyBorder="1" applyAlignment="1">
      <alignment horizontal="left"/>
    </xf>
    <xf numFmtId="0" fontId="1" fillId="0" borderId="14" xfId="0" applyFont="1" applyBorder="1" applyAlignment="1">
      <alignment horizontal="left"/>
    </xf>
    <xf numFmtId="0" fontId="1" fillId="0" borderId="8" xfId="0" applyFont="1" applyBorder="1" applyAlignment="1">
      <alignment horizontal="left"/>
    </xf>
    <xf numFmtId="0" fontId="1" fillId="0" borderId="11" xfId="5" applyFont="1" applyBorder="1" applyAlignment="1">
      <alignment horizontal="left"/>
    </xf>
    <xf numFmtId="0" fontId="5" fillId="0" borderId="0" xfId="5" applyFont="1" applyAlignment="1">
      <alignment horizontal="left"/>
    </xf>
    <xf numFmtId="0" fontId="1" fillId="0" borderId="0" xfId="5" applyFont="1" applyAlignment="1">
      <alignment horizontal="left" vertical="top"/>
    </xf>
    <xf numFmtId="0" fontId="1" fillId="0" borderId="0" xfId="5" applyFont="1" applyAlignment="1">
      <alignment horizontal="left" vertical="top" wrapText="1"/>
    </xf>
    <xf numFmtId="2" fontId="1" fillId="0" borderId="11" xfId="5" applyNumberFormat="1" applyFont="1" applyBorder="1" applyAlignment="1">
      <alignment horizontal="left"/>
    </xf>
    <xf numFmtId="1" fontId="1" fillId="0" borderId="1" xfId="5" applyNumberFormat="1" applyFont="1" applyBorder="1" applyAlignment="1">
      <alignment horizontal="left"/>
    </xf>
    <xf numFmtId="0" fontId="1" fillId="0" borderId="0" xfId="5" applyFont="1" applyAlignment="1">
      <alignment horizontal="left" wrapText="1"/>
    </xf>
    <xf numFmtId="0" fontId="1" fillId="0" borderId="16" xfId="0" applyFont="1" applyBorder="1" applyAlignment="1">
      <alignment horizontal="left"/>
    </xf>
    <xf numFmtId="0" fontId="1" fillId="0" borderId="5" xfId="0" applyFont="1" applyBorder="1" applyAlignment="1">
      <alignment horizontal="left"/>
    </xf>
    <xf numFmtId="0" fontId="24" fillId="0" borderId="1" xfId="5" applyFont="1" applyBorder="1" applyAlignment="1">
      <alignment horizontal="left"/>
    </xf>
    <xf numFmtId="0" fontId="1" fillId="0" borderId="1" xfId="0" applyFont="1" applyBorder="1" applyAlignment="1">
      <alignment horizontal="left"/>
    </xf>
    <xf numFmtId="0" fontId="24" fillId="0" borderId="1" xfId="0" applyFont="1" applyBorder="1" applyAlignment="1">
      <alignment horizontal="left"/>
    </xf>
    <xf numFmtId="14" fontId="1" fillId="0" borderId="0" xfId="5" applyNumberFormat="1" applyFont="1" applyAlignment="1">
      <alignment horizontal="left"/>
    </xf>
    <xf numFmtId="0" fontId="1" fillId="0" borderId="20" xfId="5" applyFont="1" applyBorder="1" applyAlignment="1">
      <alignment horizontal="left"/>
    </xf>
    <xf numFmtId="0" fontId="30" fillId="0" borderId="0" xfId="0" applyFont="1" applyAlignment="1">
      <alignment horizontal="left"/>
    </xf>
    <xf numFmtId="1" fontId="1" fillId="0" borderId="0" xfId="5" applyNumberFormat="1" applyFont="1" applyAlignment="1">
      <alignment horizontal="left"/>
    </xf>
    <xf numFmtId="0" fontId="32" fillId="0" borderId="0" xfId="5" applyFont="1"/>
    <xf numFmtId="164" fontId="13" fillId="0" borderId="19" xfId="5" applyNumberFormat="1" applyFont="1" applyBorder="1"/>
    <xf numFmtId="0" fontId="11" fillId="0" borderId="0" xfId="4" applyAlignment="1" applyProtection="1"/>
    <xf numFmtId="3" fontId="1" fillId="6" borderId="0" xfId="1" applyNumberFormat="1" applyFill="1" applyAlignment="1">
      <alignment horizontal="left" wrapText="1"/>
    </xf>
    <xf numFmtId="169" fontId="0" fillId="4" borderId="0" xfId="0" applyNumberFormat="1" applyFill="1"/>
    <xf numFmtId="1" fontId="5" fillId="7" borderId="0" xfId="1" applyNumberFormat="1" applyFont="1" applyFill="1" applyAlignment="1">
      <alignment horizontal="center" wrapText="1"/>
    </xf>
    <xf numFmtId="164" fontId="31" fillId="0" borderId="0" xfId="0" applyNumberFormat="1" applyFont="1"/>
    <xf numFmtId="169" fontId="31" fillId="0" borderId="0" xfId="0" applyNumberFormat="1" applyFont="1"/>
    <xf numFmtId="0" fontId="42" fillId="8" borderId="22" xfId="0" applyFont="1" applyFill="1" applyBorder="1" applyAlignment="1">
      <alignment horizontal="center"/>
    </xf>
    <xf numFmtId="0" fontId="42" fillId="8" borderId="22" xfId="0" applyFont="1" applyFill="1" applyBorder="1" applyAlignment="1">
      <alignment horizontal="center" vertical="center"/>
    </xf>
    <xf numFmtId="9" fontId="0" fillId="0" borderId="0" xfId="10" applyFont="1" applyProtection="1">
      <protection locked="0"/>
    </xf>
    <xf numFmtId="0" fontId="5" fillId="7" borderId="2" xfId="1" applyFont="1" applyFill="1" applyBorder="1" applyAlignment="1">
      <alignment horizontal="left" wrapText="1"/>
    </xf>
    <xf numFmtId="0" fontId="0" fillId="4" borderId="0" xfId="0" applyFill="1" applyAlignment="1">
      <alignment horizontal="left" wrapText="1"/>
    </xf>
    <xf numFmtId="0" fontId="9" fillId="7" borderId="0" xfId="1" applyFont="1" applyFill="1" applyAlignment="1">
      <alignment horizontal="center" wrapText="1"/>
    </xf>
    <xf numFmtId="0" fontId="6" fillId="0" borderId="23" xfId="0" applyFont="1" applyBorder="1"/>
    <xf numFmtId="0" fontId="6" fillId="0" borderId="20" xfId="0" applyFont="1" applyBorder="1" applyAlignment="1">
      <alignment wrapText="1"/>
    </xf>
    <xf numFmtId="0" fontId="6" fillId="0" borderId="24" xfId="0" applyFont="1" applyBorder="1" applyAlignment="1">
      <alignment wrapText="1"/>
    </xf>
    <xf numFmtId="0" fontId="0" fillId="0" borderId="13" xfId="0" applyBorder="1"/>
    <xf numFmtId="164" fontId="0" fillId="0" borderId="0" xfId="0" applyNumberFormat="1"/>
    <xf numFmtId="164" fontId="0" fillId="0" borderId="18" xfId="0" applyNumberFormat="1" applyBorder="1"/>
    <xf numFmtId="0" fontId="0" fillId="0" borderId="12" xfId="0" applyBorder="1"/>
    <xf numFmtId="164" fontId="0" fillId="0" borderId="25" xfId="0" applyNumberFormat="1" applyBorder="1"/>
    <xf numFmtId="164" fontId="0" fillId="0" borderId="17" xfId="0" applyNumberFormat="1" applyBorder="1"/>
    <xf numFmtId="3" fontId="6" fillId="11" borderId="26" xfId="0" applyNumberFormat="1" applyFont="1" applyFill="1" applyBorder="1"/>
    <xf numFmtId="3" fontId="0" fillId="11" borderId="27" xfId="0" applyNumberFormat="1" applyFill="1" applyBorder="1"/>
    <xf numFmtId="3" fontId="0" fillId="11" borderId="28" xfId="0" applyNumberFormat="1" applyFill="1" applyBorder="1"/>
    <xf numFmtId="0" fontId="46" fillId="5" borderId="0" xfId="14" applyFont="1" applyFill="1"/>
    <xf numFmtId="0" fontId="45" fillId="5" borderId="0" xfId="14" applyFill="1"/>
    <xf numFmtId="0" fontId="45" fillId="0" borderId="0" xfId="14"/>
    <xf numFmtId="0" fontId="46" fillId="0" borderId="0" xfId="14" applyFont="1"/>
    <xf numFmtId="0" fontId="46" fillId="0" borderId="0" xfId="14" applyFont="1" applyAlignment="1">
      <alignment wrapText="1"/>
    </xf>
    <xf numFmtId="164" fontId="45" fillId="0" borderId="0" xfId="14" applyNumberFormat="1"/>
    <xf numFmtId="2" fontId="45" fillId="0" borderId="0" xfId="14" applyNumberFormat="1"/>
    <xf numFmtId="0" fontId="47" fillId="0" borderId="0" xfId="0" applyFont="1" applyProtection="1">
      <protection locked="0"/>
    </xf>
    <xf numFmtId="0" fontId="0" fillId="14" borderId="0" xfId="0" applyFill="1" applyProtection="1">
      <protection locked="0"/>
    </xf>
    <xf numFmtId="0" fontId="12" fillId="14" borderId="0" xfId="0" applyFont="1" applyFill="1" applyProtection="1">
      <protection locked="0"/>
    </xf>
    <xf numFmtId="0" fontId="48" fillId="14" borderId="0" xfId="0" applyFont="1" applyFill="1" applyProtection="1">
      <protection locked="0"/>
    </xf>
    <xf numFmtId="9" fontId="0" fillId="14" borderId="0" xfId="10" applyFont="1" applyFill="1" applyProtection="1">
      <protection locked="0"/>
    </xf>
    <xf numFmtId="170" fontId="47" fillId="8" borderId="0" xfId="11" applyNumberFormat="1" applyFont="1" applyFill="1" applyAlignment="1">
      <alignment horizontal="left"/>
    </xf>
    <xf numFmtId="0" fontId="31" fillId="0" borderId="0" xfId="0" applyFont="1" applyAlignment="1" applyProtection="1">
      <alignment horizontal="right"/>
      <protection locked="0"/>
    </xf>
    <xf numFmtId="49" fontId="49" fillId="15" borderId="0" xfId="0" applyNumberFormat="1" applyFont="1" applyFill="1" applyAlignment="1">
      <alignment horizontal="left"/>
    </xf>
    <xf numFmtId="0" fontId="19" fillId="11" borderId="0" xfId="15" applyFont="1" applyFill="1"/>
    <xf numFmtId="0" fontId="49" fillId="15" borderId="0" xfId="15" applyFont="1" applyFill="1"/>
    <xf numFmtId="0" fontId="49" fillId="8" borderId="22" xfId="15" applyFont="1" applyFill="1" applyBorder="1" applyAlignment="1">
      <alignment horizontal="center"/>
    </xf>
    <xf numFmtId="0" fontId="49" fillId="8" borderId="22" xfId="15" applyFont="1" applyFill="1" applyBorder="1" applyAlignment="1">
      <alignment horizontal="center" vertical="top"/>
    </xf>
    <xf numFmtId="0" fontId="49" fillId="8" borderId="22" xfId="15" applyFont="1" applyFill="1" applyBorder="1" applyAlignment="1">
      <alignment horizontal="center" vertical="top" wrapText="1"/>
    </xf>
    <xf numFmtId="0" fontId="49" fillId="8" borderId="22" xfId="15" applyFont="1" applyFill="1" applyBorder="1" applyAlignment="1">
      <alignment horizontal="center" wrapText="1"/>
    </xf>
    <xf numFmtId="164" fontId="19" fillId="11" borderId="0" xfId="15" applyNumberFormat="1" applyFont="1" applyFill="1"/>
    <xf numFmtId="3" fontId="19" fillId="11" borderId="0" xfId="0" applyNumberFormat="1" applyFont="1" applyFill="1" applyAlignment="1">
      <alignment horizontal="right" vertical="top" indent="1"/>
    </xf>
    <xf numFmtId="2" fontId="19" fillId="11" borderId="0" xfId="15" applyNumberFormat="1" applyFont="1" applyFill="1"/>
    <xf numFmtId="49" fontId="49" fillId="11" borderId="0" xfId="0" applyNumberFormat="1" applyFont="1" applyFill="1" applyAlignment="1">
      <alignment horizontal="left"/>
    </xf>
    <xf numFmtId="0" fontId="49" fillId="8" borderId="30" xfId="0" applyFont="1" applyFill="1" applyBorder="1" applyAlignment="1">
      <alignment horizontal="center" vertical="center"/>
    </xf>
    <xf numFmtId="0" fontId="49" fillId="8" borderId="31" xfId="0" applyFont="1" applyFill="1" applyBorder="1" applyAlignment="1">
      <alignment horizontal="center" vertical="center"/>
    </xf>
    <xf numFmtId="9" fontId="43" fillId="0" borderId="0" xfId="10" applyFont="1" applyAlignment="1">
      <alignment horizontal="right" vertical="center" indent="1"/>
    </xf>
    <xf numFmtId="0" fontId="12" fillId="0" borderId="0" xfId="0" applyFont="1" applyProtection="1">
      <protection locked="0"/>
    </xf>
    <xf numFmtId="164" fontId="12" fillId="14" borderId="0" xfId="0" applyNumberFormat="1" applyFont="1" applyFill="1" applyProtection="1">
      <protection locked="0"/>
    </xf>
    <xf numFmtId="0" fontId="12" fillId="8" borderId="0" xfId="0" applyFont="1" applyFill="1"/>
    <xf numFmtId="164" fontId="12" fillId="8" borderId="0" xfId="0" applyNumberFormat="1" applyFont="1" applyFill="1" applyAlignment="1">
      <alignment horizontal="left"/>
    </xf>
    <xf numFmtId="170" fontId="12" fillId="8" borderId="0" xfId="11" applyNumberFormat="1" applyFont="1" applyFill="1" applyAlignment="1">
      <alignment horizontal="left"/>
    </xf>
    <xf numFmtId="2" fontId="12" fillId="14" borderId="0" xfId="0" applyNumberFormat="1" applyFont="1" applyFill="1" applyProtection="1">
      <protection locked="0"/>
    </xf>
    <xf numFmtId="0" fontId="5" fillId="3" borderId="3" xfId="1" applyFont="1" applyFill="1" applyBorder="1" applyAlignment="1">
      <alignment horizontal="center"/>
    </xf>
    <xf numFmtId="0" fontId="5" fillId="0" borderId="0" xfId="1" applyFont="1" applyAlignment="1">
      <alignment horizontal="center"/>
    </xf>
    <xf numFmtId="0" fontId="1" fillId="0" borderId="0" xfId="1" applyAlignment="1">
      <alignment horizontal="center" wrapText="1"/>
    </xf>
    <xf numFmtId="0" fontId="1" fillId="0" borderId="0" xfId="1" applyAlignment="1">
      <alignment horizontal="center"/>
    </xf>
    <xf numFmtId="0" fontId="0" fillId="0" borderId="0" xfId="0" applyAlignment="1" applyProtection="1">
      <alignment horizontal="center"/>
      <protection locked="0"/>
    </xf>
    <xf numFmtId="2" fontId="0" fillId="0" borderId="0" xfId="0" applyNumberFormat="1" applyAlignment="1" applyProtection="1">
      <alignment horizontal="center"/>
      <protection locked="0"/>
    </xf>
    <xf numFmtId="0" fontId="5" fillId="3" borderId="3" xfId="1" applyFont="1" applyFill="1" applyBorder="1" applyAlignment="1">
      <alignment horizontal="center" wrapText="1"/>
    </xf>
    <xf numFmtId="2" fontId="5" fillId="3" borderId="3" xfId="1" applyNumberFormat="1" applyFont="1" applyFill="1" applyBorder="1" applyAlignment="1">
      <alignment horizontal="center" wrapText="1"/>
    </xf>
    <xf numFmtId="0" fontId="1" fillId="7" borderId="0" xfId="1" applyFill="1" applyAlignment="1">
      <alignment horizontal="center" wrapText="1"/>
    </xf>
    <xf numFmtId="0" fontId="0" fillId="11" borderId="1" xfId="0" applyFill="1" applyBorder="1" applyAlignment="1">
      <alignment horizontal="center"/>
    </xf>
    <xf numFmtId="2" fontId="5" fillId="7" borderId="0" xfId="1" applyNumberFormat="1" applyFont="1" applyFill="1" applyAlignment="1">
      <alignment horizontal="center" wrapText="1"/>
    </xf>
    <xf numFmtId="0" fontId="5" fillId="7" borderId="0" xfId="1" applyFont="1" applyFill="1" applyAlignment="1" applyProtection="1">
      <alignment horizontal="center" wrapText="1"/>
      <protection locked="0"/>
    </xf>
    <xf numFmtId="0" fontId="5" fillId="0" borderId="0" xfId="1" applyFont="1" applyAlignment="1">
      <alignment horizontal="center" wrapText="1"/>
    </xf>
    <xf numFmtId="2" fontId="5" fillId="0" borderId="0" xfId="1" applyNumberFormat="1" applyFont="1" applyAlignment="1">
      <alignment horizontal="center" wrapText="1"/>
    </xf>
    <xf numFmtId="0" fontId="5" fillId="0" borderId="0" xfId="1" applyFont="1" applyAlignment="1" applyProtection="1">
      <alignment horizontal="center" wrapText="1"/>
      <protection locked="0"/>
    </xf>
    <xf numFmtId="2" fontId="5" fillId="0" borderId="0" xfId="1" applyNumberFormat="1" applyFont="1" applyAlignment="1" applyProtection="1">
      <alignment horizontal="center" wrapText="1"/>
      <protection locked="0"/>
    </xf>
    <xf numFmtId="0" fontId="0" fillId="0" borderId="0" xfId="0" applyAlignment="1">
      <alignment horizontal="center"/>
    </xf>
    <xf numFmtId="165" fontId="19" fillId="11" borderId="0" xfId="0" applyNumberFormat="1" applyFont="1" applyFill="1" applyAlignment="1">
      <alignment horizontal="center" vertical="top"/>
    </xf>
    <xf numFmtId="165" fontId="19" fillId="11" borderId="25" xfId="0" applyNumberFormat="1" applyFont="1" applyFill="1" applyBorder="1" applyAlignment="1">
      <alignment horizontal="center" vertical="top"/>
    </xf>
    <xf numFmtId="0" fontId="44" fillId="0" borderId="0" xfId="0" applyFont="1" applyAlignment="1">
      <alignment horizontal="center" vertical="center" wrapText="1"/>
    </xf>
    <xf numFmtId="0" fontId="0" fillId="16" borderId="24" xfId="0" applyFill="1" applyBorder="1" applyAlignment="1" applyProtection="1">
      <alignment horizontal="center"/>
      <protection locked="0"/>
    </xf>
    <xf numFmtId="0" fontId="0" fillId="16" borderId="33" xfId="0" applyFill="1" applyBorder="1" applyAlignment="1" applyProtection="1">
      <alignment horizontal="center"/>
      <protection locked="0"/>
    </xf>
    <xf numFmtId="0" fontId="0" fillId="11" borderId="18" xfId="0" applyFill="1" applyBorder="1" applyAlignment="1" applyProtection="1">
      <alignment horizontal="center"/>
      <protection locked="0"/>
    </xf>
    <xf numFmtId="0" fontId="0" fillId="11" borderId="17" xfId="0" applyFill="1" applyBorder="1" applyAlignment="1" applyProtection="1">
      <alignment horizontal="center"/>
      <protection locked="0"/>
    </xf>
    <xf numFmtId="1" fontId="0" fillId="0" borderId="0" xfId="0" applyNumberFormat="1" applyAlignment="1" applyProtection="1">
      <alignment horizontal="center"/>
      <protection locked="0"/>
    </xf>
    <xf numFmtId="3" fontId="0" fillId="0" borderId="0" xfId="0" applyNumberFormat="1" applyAlignment="1" applyProtection="1">
      <alignment horizontal="center"/>
      <protection locked="0"/>
    </xf>
    <xf numFmtId="1" fontId="1" fillId="0" borderId="0" xfId="1" applyNumberFormat="1" applyAlignment="1" applyProtection="1">
      <alignment horizontal="center" wrapText="1"/>
      <protection locked="0"/>
    </xf>
    <xf numFmtId="164" fontId="2" fillId="8" borderId="0" xfId="1" applyNumberFormat="1" applyFont="1" applyFill="1" applyAlignment="1">
      <alignment horizontal="center" wrapText="1"/>
    </xf>
    <xf numFmtId="3" fontId="0" fillId="8" borderId="0" xfId="0" applyNumberFormat="1" applyFill="1" applyAlignment="1" applyProtection="1">
      <alignment horizontal="center"/>
      <protection locked="0"/>
    </xf>
    <xf numFmtId="0" fontId="0" fillId="8" borderId="0" xfId="0" applyFill="1" applyAlignment="1" applyProtection="1">
      <alignment horizontal="center"/>
      <protection locked="0"/>
    </xf>
    <xf numFmtId="164" fontId="1" fillId="8" borderId="0" xfId="1" applyNumberFormat="1" applyFill="1" applyAlignment="1">
      <alignment horizontal="center" wrapText="1"/>
    </xf>
    <xf numFmtId="2" fontId="6" fillId="7" borderId="0" xfId="0" applyNumberFormat="1" applyFont="1" applyFill="1" applyAlignment="1" applyProtection="1">
      <alignment horizontal="center"/>
      <protection locked="0"/>
    </xf>
    <xf numFmtId="0" fontId="1" fillId="0" borderId="0" xfId="1" applyAlignment="1" applyProtection="1">
      <alignment horizontal="center" wrapText="1"/>
      <protection locked="0"/>
    </xf>
    <xf numFmtId="164" fontId="0" fillId="0" borderId="0" xfId="0" applyNumberFormat="1" applyAlignment="1" applyProtection="1">
      <alignment horizontal="center"/>
      <protection locked="0"/>
    </xf>
    <xf numFmtId="1" fontId="5" fillId="7" borderId="0" xfId="1" applyNumberFormat="1" applyFont="1" applyFill="1" applyAlignment="1" applyProtection="1">
      <alignment horizontal="center" wrapText="1"/>
      <protection locked="0"/>
    </xf>
    <xf numFmtId="3" fontId="1" fillId="8" borderId="0" xfId="1" applyNumberFormat="1" applyFill="1" applyAlignment="1">
      <alignment horizontal="center"/>
    </xf>
    <xf numFmtId="0" fontId="5" fillId="8" borderId="0" xfId="1" applyFont="1" applyFill="1" applyAlignment="1">
      <alignment horizontal="center"/>
    </xf>
    <xf numFmtId="2" fontId="5" fillId="8" borderId="0" xfId="1" applyNumberFormat="1" applyFont="1" applyFill="1" applyAlignment="1">
      <alignment horizontal="center"/>
    </xf>
    <xf numFmtId="3" fontId="0" fillId="8" borderId="0" xfId="0" applyNumberFormat="1" applyFill="1" applyAlignment="1">
      <alignment horizontal="center"/>
    </xf>
    <xf numFmtId="0" fontId="0" fillId="8" borderId="0" xfId="0" applyFill="1" applyAlignment="1">
      <alignment horizontal="center"/>
    </xf>
    <xf numFmtId="2" fontId="0" fillId="8" borderId="0" xfId="0" applyNumberFormat="1" applyFill="1" applyAlignment="1">
      <alignment horizontal="center"/>
    </xf>
    <xf numFmtId="170" fontId="0" fillId="7" borderId="0" xfId="11" applyNumberFormat="1" applyFont="1" applyFill="1" applyAlignment="1">
      <alignment horizontal="center"/>
    </xf>
    <xf numFmtId="170" fontId="5" fillId="7" borderId="0" xfId="11" applyNumberFormat="1" applyFont="1" applyFill="1" applyAlignment="1">
      <alignment horizontal="center" wrapText="1"/>
    </xf>
    <xf numFmtId="164" fontId="5" fillId="7" borderId="0" xfId="1" applyNumberFormat="1" applyFont="1" applyFill="1" applyAlignment="1">
      <alignment horizontal="center" wrapText="1"/>
    </xf>
    <xf numFmtId="1" fontId="5" fillId="0" borderId="0" xfId="1" applyNumberFormat="1" applyFont="1" applyAlignment="1">
      <alignment horizontal="center" wrapText="1"/>
    </xf>
    <xf numFmtId="0" fontId="5" fillId="5" borderId="0" xfId="1" applyFont="1" applyFill="1" applyAlignment="1">
      <alignment horizontal="center" wrapText="1"/>
    </xf>
    <xf numFmtId="2" fontId="5" fillId="5" borderId="0" xfId="1" applyNumberFormat="1" applyFont="1" applyFill="1" applyAlignment="1">
      <alignment horizontal="center" wrapText="1"/>
    </xf>
    <xf numFmtId="3" fontId="0" fillId="0" borderId="0" xfId="0" applyNumberFormat="1" applyAlignment="1">
      <alignment horizontal="center"/>
    </xf>
    <xf numFmtId="2" fontId="0" fillId="0" borderId="0" xfId="0" applyNumberFormat="1" applyAlignment="1">
      <alignment horizontal="center"/>
    </xf>
    <xf numFmtId="1" fontId="5" fillId="0" borderId="0" xfId="1" applyNumberFormat="1" applyFont="1" applyAlignment="1" applyProtection="1">
      <alignment horizontal="center" wrapText="1"/>
      <protection locked="0"/>
    </xf>
    <xf numFmtId="3" fontId="1" fillId="0" borderId="0" xfId="1" applyNumberFormat="1" applyAlignment="1" applyProtection="1">
      <alignment horizontal="center"/>
      <protection locked="0"/>
    </xf>
    <xf numFmtId="0" fontId="6" fillId="0" borderId="9" xfId="0" applyFont="1" applyBorder="1" applyAlignment="1">
      <alignment horizontal="center"/>
    </xf>
    <xf numFmtId="0" fontId="0" fillId="0" borderId="11" xfId="0" applyBorder="1" applyAlignment="1" applyProtection="1">
      <alignment horizontal="center"/>
      <protection locked="0"/>
    </xf>
    <xf numFmtId="0" fontId="6" fillId="0" borderId="0" xfId="0" applyFont="1" applyAlignment="1" applyProtection="1">
      <alignment horizontal="center"/>
      <protection locked="0"/>
    </xf>
    <xf numFmtId="170" fontId="0" fillId="0" borderId="0" xfId="11" applyNumberFormat="1" applyFont="1" applyAlignment="1" applyProtection="1">
      <alignment horizontal="center"/>
      <protection locked="0"/>
    </xf>
    <xf numFmtId="0" fontId="42" fillId="9" borderId="0" xfId="0" applyFont="1" applyFill="1" applyAlignment="1">
      <alignment horizontal="center"/>
    </xf>
    <xf numFmtId="9" fontId="43" fillId="9" borderId="0" xfId="10" applyFont="1" applyFill="1" applyAlignment="1">
      <alignment horizontal="center" vertical="center"/>
    </xf>
    <xf numFmtId="169" fontId="0" fillId="0" borderId="0" xfId="0" applyNumberFormat="1" applyAlignment="1" applyProtection="1">
      <alignment horizontal="center"/>
      <protection locked="0"/>
    </xf>
    <xf numFmtId="0" fontId="6" fillId="0" borderId="0" xfId="0" applyFont="1" applyAlignment="1" applyProtection="1">
      <alignment horizontal="center" wrapText="1"/>
      <protection locked="0"/>
    </xf>
    <xf numFmtId="9" fontId="0" fillId="0" borderId="0" xfId="10" applyFont="1" applyAlignment="1" applyProtection="1">
      <alignment horizontal="center"/>
      <protection locked="0"/>
    </xf>
    <xf numFmtId="9" fontId="0" fillId="0" borderId="0" xfId="10" applyFont="1" applyAlignment="1">
      <alignment horizontal="center"/>
    </xf>
    <xf numFmtId="172" fontId="0" fillId="0" borderId="0" xfId="0" applyNumberFormat="1" applyAlignment="1" applyProtection="1">
      <alignment horizontal="center"/>
      <protection locked="0"/>
    </xf>
    <xf numFmtId="171" fontId="0" fillId="0" borderId="0" xfId="0" applyNumberFormat="1" applyAlignment="1">
      <alignment horizontal="center"/>
    </xf>
    <xf numFmtId="171" fontId="0" fillId="0" borderId="0" xfId="0" applyNumberFormat="1" applyAlignment="1" applyProtection="1">
      <alignment horizontal="center"/>
      <protection locked="0"/>
    </xf>
    <xf numFmtId="165" fontId="0" fillId="11" borderId="18" xfId="0" applyNumberFormat="1" applyFill="1" applyBorder="1" applyAlignment="1" applyProtection="1">
      <alignment horizontal="center"/>
      <protection locked="0"/>
    </xf>
    <xf numFmtId="164" fontId="0" fillId="0" borderId="0" xfId="0" applyNumberFormat="1" applyAlignment="1">
      <alignment horizontal="center"/>
    </xf>
    <xf numFmtId="169" fontId="0" fillId="0" borderId="0" xfId="0" applyNumberFormat="1" applyAlignment="1">
      <alignment horizontal="center"/>
    </xf>
    <xf numFmtId="0" fontId="31" fillId="0" borderId="0" xfId="0" applyFont="1" applyAlignment="1">
      <alignment horizontal="center" wrapText="1"/>
    </xf>
    <xf numFmtId="0" fontId="31" fillId="0" borderId="0" xfId="0" applyFont="1" applyAlignment="1">
      <alignment horizontal="center"/>
    </xf>
    <xf numFmtId="165" fontId="0" fillId="11" borderId="17" xfId="0" applyNumberFormat="1" applyFill="1" applyBorder="1" applyAlignment="1" applyProtection="1">
      <alignment horizontal="center"/>
      <protection locked="0"/>
    </xf>
    <xf numFmtId="0" fontId="0" fillId="16" borderId="20" xfId="0" applyFill="1" applyBorder="1" applyAlignment="1" applyProtection="1">
      <alignment horizontal="center"/>
      <protection locked="0"/>
    </xf>
    <xf numFmtId="0" fontId="0" fillId="16" borderId="3" xfId="0"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25" xfId="0" applyFill="1" applyBorder="1" applyAlignment="1" applyProtection="1">
      <alignment horizontal="center"/>
      <protection locked="0"/>
    </xf>
    <xf numFmtId="0" fontId="5" fillId="3" borderId="34" xfId="1" applyFont="1" applyFill="1" applyBorder="1" applyAlignment="1">
      <alignment horizontal="left"/>
    </xf>
    <xf numFmtId="0" fontId="5" fillId="3" borderId="35" xfId="1" applyFont="1" applyFill="1" applyBorder="1" applyAlignment="1">
      <alignment horizontal="center"/>
    </xf>
    <xf numFmtId="0" fontId="5" fillId="7" borderId="13" xfId="1" applyFont="1" applyFill="1" applyBorder="1" applyAlignment="1">
      <alignment horizontal="left" wrapText="1"/>
    </xf>
    <xf numFmtId="0" fontId="1" fillId="0" borderId="0" xfId="1" applyAlignment="1">
      <alignment horizontal="left"/>
    </xf>
    <xf numFmtId="0" fontId="0" fillId="0" borderId="0" xfId="0" applyAlignment="1" applyProtection="1">
      <alignment vertical="center"/>
      <protection locked="0"/>
    </xf>
    <xf numFmtId="0" fontId="6" fillId="14" borderId="0" xfId="0" applyFont="1" applyFill="1" applyAlignment="1" applyProtection="1">
      <alignment vertical="center" wrapText="1"/>
      <protection locked="0"/>
    </xf>
    <xf numFmtId="0" fontId="0" fillId="8" borderId="0" xfId="0" applyFill="1" applyAlignment="1">
      <alignment vertical="center"/>
    </xf>
    <xf numFmtId="0" fontId="5" fillId="8" borderId="0" xfId="1" applyFont="1" applyFill="1" applyAlignment="1">
      <alignment horizontal="left" vertical="center" wrapText="1"/>
    </xf>
    <xf numFmtId="0" fontId="0" fillId="14" borderId="0" xfId="0" applyFill="1" applyAlignment="1" applyProtection="1">
      <alignment vertical="center"/>
      <protection locked="0"/>
    </xf>
    <xf numFmtId="9" fontId="0" fillId="14" borderId="0" xfId="10" applyFont="1" applyFill="1" applyAlignment="1" applyProtection="1">
      <alignment vertical="center"/>
      <protection locked="0"/>
    </xf>
    <xf numFmtId="0" fontId="5" fillId="8" borderId="0" xfId="1" applyFont="1" applyFill="1" applyAlignment="1">
      <alignment horizontal="left" vertical="center"/>
    </xf>
    <xf numFmtId="164" fontId="0" fillId="8" borderId="0" xfId="0" applyNumberFormat="1" applyFill="1" applyAlignment="1">
      <alignment horizontal="left" vertical="center"/>
    </xf>
    <xf numFmtId="164" fontId="2" fillId="8" borderId="0" xfId="1" applyNumberFormat="1" applyFont="1" applyFill="1" applyAlignment="1">
      <alignment horizontal="left" vertical="center" wrapText="1"/>
    </xf>
    <xf numFmtId="170" fontId="47" fillId="8" borderId="0" xfId="11" applyNumberFormat="1" applyFont="1" applyFill="1" applyAlignment="1">
      <alignment horizontal="left" vertical="center"/>
    </xf>
    <xf numFmtId="0" fontId="53" fillId="0" borderId="0" xfId="0" applyFont="1"/>
    <xf numFmtId="0" fontId="53" fillId="0" borderId="0" xfId="0" applyFont="1" applyAlignment="1">
      <alignment horizontal="left"/>
    </xf>
    <xf numFmtId="0" fontId="31" fillId="0" borderId="0" xfId="0" applyFont="1"/>
    <xf numFmtId="0" fontId="1" fillId="7" borderId="2" xfId="1" applyFill="1" applyBorder="1" applyAlignment="1">
      <alignment horizontal="left" wrapText="1"/>
    </xf>
    <xf numFmtId="0" fontId="5" fillId="7" borderId="0" xfId="1" applyFont="1" applyFill="1" applyAlignment="1">
      <alignment horizontal="center"/>
    </xf>
    <xf numFmtId="0" fontId="5" fillId="3" borderId="3" xfId="1" applyFont="1" applyFill="1" applyBorder="1" applyAlignment="1">
      <alignment horizontal="center" vertical="center"/>
    </xf>
    <xf numFmtId="0" fontId="5" fillId="3" borderId="36" xfId="1" applyFont="1" applyFill="1" applyBorder="1" applyAlignment="1">
      <alignment horizontal="left"/>
    </xf>
    <xf numFmtId="0" fontId="0" fillId="0" borderId="0" xfId="0" applyAlignment="1" applyProtection="1">
      <alignment horizontal="left" indent="1"/>
      <protection locked="0"/>
    </xf>
    <xf numFmtId="0" fontId="1" fillId="7" borderId="13" xfId="1" applyFill="1" applyBorder="1" applyAlignment="1">
      <alignment horizontal="left" wrapText="1" indent="1"/>
    </xf>
    <xf numFmtId="0" fontId="1" fillId="7" borderId="13" xfId="1" applyFill="1" applyBorder="1" applyAlignment="1">
      <alignment horizontal="left" vertical="top" wrapText="1" indent="1"/>
    </xf>
    <xf numFmtId="0" fontId="5" fillId="7" borderId="13" xfId="1" applyFont="1" applyFill="1" applyBorder="1" applyAlignment="1">
      <alignment horizontal="left" wrapText="1" indent="1"/>
    </xf>
    <xf numFmtId="0" fontId="1" fillId="7" borderId="12" xfId="1" applyFill="1" applyBorder="1" applyAlignment="1">
      <alignment horizontal="left" indent="1"/>
    </xf>
    <xf numFmtId="0" fontId="5" fillId="7" borderId="0" xfId="1" applyFont="1" applyFill="1" applyAlignment="1">
      <alignment horizontal="left" wrapText="1" indent="1"/>
    </xf>
    <xf numFmtId="0" fontId="5" fillId="3" borderId="3" xfId="1" applyFont="1" applyFill="1" applyBorder="1" applyAlignment="1">
      <alignment horizontal="left" indent="1"/>
    </xf>
    <xf numFmtId="0" fontId="5" fillId="0" borderId="0" xfId="1" applyFont="1" applyAlignment="1">
      <alignment horizontal="left" wrapText="1" indent="1"/>
    </xf>
    <xf numFmtId="0" fontId="5" fillId="0" borderId="0" xfId="1" applyFont="1" applyAlignment="1" applyProtection="1">
      <alignment horizontal="left" wrapText="1" indent="1"/>
      <protection locked="0"/>
    </xf>
    <xf numFmtId="49" fontId="6" fillId="0" borderId="0" xfId="0" applyNumberFormat="1" applyFont="1" applyAlignment="1" applyProtection="1">
      <alignment horizontal="left" indent="1"/>
      <protection locked="0"/>
    </xf>
    <xf numFmtId="0" fontId="49" fillId="8" borderId="29" xfId="0" applyFont="1" applyFill="1" applyBorder="1" applyAlignment="1">
      <alignment horizontal="left" vertical="center" indent="1"/>
    </xf>
    <xf numFmtId="49" fontId="49" fillId="11" borderId="13" xfId="0" applyNumberFormat="1" applyFont="1" applyFill="1" applyBorder="1" applyAlignment="1">
      <alignment horizontal="left" indent="1"/>
    </xf>
    <xf numFmtId="49" fontId="49" fillId="11" borderId="12" xfId="0" applyNumberFormat="1" applyFont="1" applyFill="1" applyBorder="1" applyAlignment="1">
      <alignment horizontal="left" indent="1"/>
    </xf>
    <xf numFmtId="2" fontId="6" fillId="16" borderId="23" xfId="0" applyNumberFormat="1" applyFont="1" applyFill="1" applyBorder="1" applyAlignment="1" applyProtection="1">
      <alignment horizontal="left" indent="1"/>
      <protection locked="0"/>
    </xf>
    <xf numFmtId="2" fontId="0" fillId="16" borderId="32" xfId="0" applyNumberFormat="1" applyFill="1" applyBorder="1" applyAlignment="1" applyProtection="1">
      <alignment horizontal="left" indent="1"/>
      <protection locked="0"/>
    </xf>
    <xf numFmtId="9" fontId="0" fillId="11" borderId="13" xfId="10" applyFont="1" applyFill="1" applyBorder="1" applyAlignment="1" applyProtection="1">
      <alignment horizontal="left" indent="1"/>
      <protection locked="0"/>
    </xf>
    <xf numFmtId="9" fontId="0" fillId="11" borderId="12" xfId="10" applyFont="1" applyFill="1" applyBorder="1" applyAlignment="1" applyProtection="1">
      <alignment horizontal="left" indent="1"/>
      <protection locked="0"/>
    </xf>
    <xf numFmtId="0" fontId="0" fillId="11" borderId="0" xfId="0" applyFill="1" applyAlignment="1" applyProtection="1">
      <alignment horizontal="left" indent="1"/>
      <protection locked="0"/>
    </xf>
    <xf numFmtId="0" fontId="5" fillId="3" borderId="34" xfId="1" applyFont="1" applyFill="1" applyBorder="1" applyAlignment="1">
      <alignment horizontal="left" vertical="center" indent="1"/>
    </xf>
    <xf numFmtId="0" fontId="5" fillId="3" borderId="36" xfId="1" applyFont="1" applyFill="1" applyBorder="1" applyAlignment="1" applyProtection="1">
      <alignment horizontal="center" vertical="center"/>
      <protection locked="0"/>
    </xf>
    <xf numFmtId="0" fontId="5" fillId="3" borderId="36" xfId="1" applyFont="1" applyFill="1" applyBorder="1" applyAlignment="1">
      <alignment horizontal="center" vertical="center"/>
    </xf>
    <xf numFmtId="0" fontId="5" fillId="3" borderId="36" xfId="1" applyFont="1" applyFill="1" applyBorder="1" applyAlignment="1">
      <alignment horizontal="center" vertical="center" wrapText="1"/>
    </xf>
    <xf numFmtId="2" fontId="5" fillId="3" borderId="36" xfId="1" applyNumberFormat="1" applyFont="1" applyFill="1" applyBorder="1" applyAlignment="1">
      <alignment horizontal="center" vertical="center" wrapText="1"/>
    </xf>
    <xf numFmtId="1" fontId="5" fillId="3" borderId="36" xfId="1" applyNumberFormat="1" applyFont="1" applyFill="1" applyBorder="1" applyAlignment="1">
      <alignment horizontal="center" vertical="center" wrapText="1"/>
    </xf>
    <xf numFmtId="0" fontId="1" fillId="7" borderId="18" xfId="1" applyFill="1" applyBorder="1" applyAlignment="1">
      <alignment horizontal="center" wrapText="1"/>
    </xf>
    <xf numFmtId="1" fontId="1" fillId="7" borderId="0" xfId="1" applyNumberFormat="1" applyFill="1" applyAlignment="1">
      <alignment horizontal="center" wrapText="1"/>
    </xf>
    <xf numFmtId="0" fontId="0" fillId="7" borderId="18" xfId="0" applyFill="1" applyBorder="1" applyAlignment="1">
      <alignment horizontal="center"/>
    </xf>
    <xf numFmtId="1" fontId="0" fillId="7" borderId="0" xfId="0" applyNumberFormat="1" applyFill="1" applyAlignment="1" applyProtection="1">
      <alignment horizontal="center"/>
      <protection locked="0"/>
    </xf>
    <xf numFmtId="49" fontId="0" fillId="7" borderId="0" xfId="0" applyNumberFormat="1" applyFill="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xf>
    <xf numFmtId="0" fontId="13" fillId="7" borderId="0" xfId="0" applyFont="1" applyFill="1" applyAlignment="1">
      <alignment horizontal="center"/>
    </xf>
    <xf numFmtId="0" fontId="5" fillId="7" borderId="13" xfId="0" applyFont="1" applyFill="1" applyBorder="1" applyAlignment="1">
      <alignment horizontal="left" indent="1"/>
    </xf>
    <xf numFmtId="0" fontId="5" fillId="7" borderId="18" xfId="1" applyFont="1" applyFill="1" applyBorder="1" applyAlignment="1">
      <alignment horizontal="center" wrapText="1"/>
    </xf>
    <xf numFmtId="0" fontId="1" fillId="7" borderId="0" xfId="1" applyFill="1" applyAlignment="1" applyProtection="1">
      <alignment horizontal="center" wrapText="1"/>
      <protection locked="0"/>
    </xf>
    <xf numFmtId="164" fontId="1" fillId="7" borderId="0" xfId="1" applyNumberFormat="1" applyFill="1" applyAlignment="1" applyProtection="1">
      <alignment horizontal="center" wrapText="1"/>
      <protection locked="0"/>
    </xf>
    <xf numFmtId="0" fontId="5" fillId="7" borderId="0" xfId="1" applyFont="1" applyFill="1" applyAlignment="1" applyProtection="1">
      <alignment horizontal="center"/>
      <protection locked="0"/>
    </xf>
    <xf numFmtId="1" fontId="1" fillId="7" borderId="0" xfId="1" applyNumberFormat="1" applyFill="1" applyAlignment="1" applyProtection="1">
      <alignment horizontal="center" wrapText="1"/>
      <protection locked="0"/>
    </xf>
    <xf numFmtId="1" fontId="1" fillId="7" borderId="13" xfId="1" applyNumberFormat="1" applyFill="1" applyBorder="1" applyAlignment="1" applyProtection="1">
      <alignment horizontal="left" wrapText="1" indent="1"/>
      <protection locked="0"/>
    </xf>
    <xf numFmtId="0" fontId="1" fillId="7" borderId="18" xfId="1" applyFill="1" applyBorder="1" applyAlignment="1" applyProtection="1">
      <alignment horizontal="center" wrapText="1"/>
      <protection locked="0"/>
    </xf>
    <xf numFmtId="0" fontId="1" fillId="7" borderId="12" xfId="1" applyFill="1" applyBorder="1" applyAlignment="1">
      <alignment horizontal="left" wrapText="1" indent="1"/>
    </xf>
    <xf numFmtId="0" fontId="1" fillId="7" borderId="25" xfId="1" applyFill="1" applyBorder="1" applyAlignment="1">
      <alignment horizontal="left" wrapText="1"/>
    </xf>
    <xf numFmtId="0" fontId="1" fillId="7" borderId="25" xfId="1" applyFill="1" applyBorder="1" applyAlignment="1">
      <alignment horizontal="center" wrapText="1"/>
    </xf>
    <xf numFmtId="164" fontId="1" fillId="7" borderId="25" xfId="1" applyNumberFormat="1" applyFill="1" applyBorder="1" applyAlignment="1" applyProtection="1">
      <alignment horizontal="center" wrapText="1"/>
      <protection locked="0"/>
    </xf>
    <xf numFmtId="1" fontId="1" fillId="7" borderId="25" xfId="1" applyNumberFormat="1" applyFill="1" applyBorder="1" applyAlignment="1" applyProtection="1">
      <alignment horizontal="center" wrapText="1"/>
      <protection locked="0"/>
    </xf>
    <xf numFmtId="0" fontId="1" fillId="7" borderId="25" xfId="1" applyFill="1" applyBorder="1" applyAlignment="1" applyProtection="1">
      <alignment horizontal="center" wrapText="1"/>
      <protection locked="0"/>
    </xf>
    <xf numFmtId="0" fontId="1" fillId="7" borderId="17" xfId="1" applyFill="1" applyBorder="1" applyAlignment="1" applyProtection="1">
      <alignment horizontal="center" wrapText="1"/>
      <protection locked="0"/>
    </xf>
    <xf numFmtId="0" fontId="5" fillId="3" borderId="25" xfId="1" applyFont="1" applyFill="1" applyBorder="1" applyAlignment="1" applyProtection="1">
      <alignment horizontal="center" vertical="center"/>
      <protection locked="0"/>
    </xf>
    <xf numFmtId="0" fontId="0" fillId="0" borderId="0" xfId="0" applyAlignment="1" applyProtection="1">
      <alignment horizontal="center" wrapText="1"/>
      <protection locked="0"/>
    </xf>
    <xf numFmtId="0" fontId="5" fillId="3" borderId="12" xfId="1" applyFont="1" applyFill="1" applyBorder="1" applyAlignment="1">
      <alignment horizontal="left" vertical="center" indent="1"/>
    </xf>
    <xf numFmtId="0" fontId="1" fillId="7" borderId="23" xfId="1" applyFill="1" applyBorder="1" applyAlignment="1">
      <alignment horizontal="left" wrapText="1" indent="1"/>
    </xf>
    <xf numFmtId="0" fontId="0" fillId="0" borderId="24"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8" xfId="0" applyBorder="1" applyAlignment="1" applyProtection="1">
      <alignment horizontal="center" wrapText="1"/>
      <protection locked="0"/>
    </xf>
    <xf numFmtId="164" fontId="1" fillId="0" borderId="0" xfId="0" applyNumberFormat="1" applyFont="1" applyAlignment="1" applyProtection="1">
      <alignment horizontal="center"/>
      <protection locked="0"/>
    </xf>
    <xf numFmtId="3" fontId="5" fillId="9" borderId="34" xfId="1" applyNumberFormat="1" applyFont="1" applyFill="1" applyBorder="1" applyAlignment="1">
      <alignment horizontal="center" vertical="center" wrapText="1"/>
    </xf>
    <xf numFmtId="3" fontId="5" fillId="9" borderId="36" xfId="1" applyNumberFormat="1" applyFont="1" applyFill="1" applyBorder="1" applyAlignment="1">
      <alignment horizontal="center" vertical="center" wrapText="1"/>
    </xf>
    <xf numFmtId="0" fontId="5" fillId="9" borderId="36" xfId="1" applyFont="1" applyFill="1" applyBorder="1" applyAlignment="1">
      <alignment horizontal="center" vertical="center" wrapText="1"/>
    </xf>
    <xf numFmtId="0" fontId="5" fillId="9" borderId="35" xfId="1" applyFont="1" applyFill="1" applyBorder="1" applyAlignment="1">
      <alignment horizontal="center" vertical="center" wrapText="1"/>
    </xf>
    <xf numFmtId="164" fontId="1" fillId="8" borderId="13" xfId="1" applyNumberFormat="1" applyFill="1" applyBorder="1" applyAlignment="1">
      <alignment horizontal="center" wrapText="1"/>
    </xf>
    <xf numFmtId="164" fontId="1" fillId="8" borderId="18" xfId="1" applyNumberFormat="1" applyFill="1" applyBorder="1" applyAlignment="1">
      <alignment horizontal="center" wrapText="1"/>
    </xf>
    <xf numFmtId="164" fontId="2" fillId="8" borderId="18" xfId="1" applyNumberFormat="1" applyFont="1" applyFill="1" applyBorder="1" applyAlignment="1">
      <alignment horizontal="center" wrapText="1"/>
    </xf>
    <xf numFmtId="3" fontId="0" fillId="8" borderId="13" xfId="0" applyNumberFormat="1" applyFill="1" applyBorder="1" applyAlignment="1" applyProtection="1">
      <alignment horizontal="center"/>
      <protection locked="0"/>
    </xf>
    <xf numFmtId="0" fontId="0" fillId="8" borderId="18" xfId="0" applyFill="1" applyBorder="1" applyAlignment="1" applyProtection="1">
      <alignment horizontal="center"/>
      <protection locked="0"/>
    </xf>
    <xf numFmtId="164" fontId="35" fillId="8" borderId="13" xfId="0" applyNumberFormat="1" applyFont="1" applyFill="1" applyBorder="1" applyAlignment="1">
      <alignment horizontal="center"/>
    </xf>
    <xf numFmtId="164" fontId="35" fillId="8" borderId="0" xfId="0" applyNumberFormat="1" applyFont="1" applyFill="1" applyAlignment="1">
      <alignment horizontal="center"/>
    </xf>
    <xf numFmtId="164" fontId="35" fillId="8" borderId="18" xfId="0" applyNumberFormat="1" applyFont="1" applyFill="1" applyBorder="1" applyAlignment="1">
      <alignment horizontal="center"/>
    </xf>
    <xf numFmtId="164" fontId="0" fillId="8" borderId="13" xfId="0" applyNumberFormat="1" applyFill="1" applyBorder="1" applyAlignment="1">
      <alignment horizontal="center"/>
    </xf>
    <xf numFmtId="0" fontId="1" fillId="0" borderId="18" xfId="1" applyBorder="1" applyAlignment="1" applyProtection="1">
      <alignment horizontal="center" wrapText="1"/>
      <protection locked="0"/>
    </xf>
    <xf numFmtId="164" fontId="0" fillId="8" borderId="0" xfId="0" applyNumberFormat="1" applyFill="1" applyAlignment="1">
      <alignment horizontal="center"/>
    </xf>
    <xf numFmtId="164" fontId="0" fillId="8" borderId="18" xfId="0" applyNumberFormat="1" applyFill="1" applyBorder="1" applyAlignment="1">
      <alignment horizontal="center"/>
    </xf>
    <xf numFmtId="164" fontId="1" fillId="8" borderId="12" xfId="1" applyNumberFormat="1" applyFill="1" applyBorder="1" applyAlignment="1">
      <alignment horizontal="center" wrapText="1"/>
    </xf>
    <xf numFmtId="164" fontId="2" fillId="8" borderId="25" xfId="1" applyNumberFormat="1" applyFont="1" applyFill="1" applyBorder="1" applyAlignment="1">
      <alignment horizontal="center" wrapText="1"/>
    </xf>
    <xf numFmtId="164" fontId="2" fillId="8" borderId="17" xfId="1" applyNumberFormat="1" applyFont="1" applyFill="1" applyBorder="1" applyAlignment="1">
      <alignment horizontal="center" wrapText="1"/>
    </xf>
    <xf numFmtId="2" fontId="0" fillId="7" borderId="0" xfId="0" applyNumberFormat="1" applyFill="1" applyAlignment="1" applyProtection="1">
      <alignment horizontal="center"/>
      <protection locked="0"/>
    </xf>
    <xf numFmtId="2" fontId="38" fillId="7" borderId="0" xfId="0" applyNumberFormat="1" applyFont="1" applyFill="1" applyAlignment="1" applyProtection="1">
      <alignment horizontal="center"/>
      <protection locked="0"/>
    </xf>
    <xf numFmtId="2" fontId="5" fillId="7" borderId="0" xfId="0" applyNumberFormat="1" applyFont="1" applyFill="1" applyAlignment="1">
      <alignment horizontal="center"/>
    </xf>
    <xf numFmtId="9" fontId="1" fillId="7" borderId="0" xfId="10" applyFont="1" applyFill="1" applyAlignment="1" applyProtection="1">
      <alignment horizontal="center" wrapText="1"/>
      <protection locked="0"/>
    </xf>
    <xf numFmtId="170" fontId="5" fillId="7" borderId="0" xfId="11" applyNumberFormat="1" applyFont="1" applyFill="1" applyAlignment="1">
      <alignment horizontal="center"/>
    </xf>
    <xf numFmtId="164" fontId="0" fillId="7" borderId="0" xfId="0" applyNumberFormat="1" applyFill="1" applyAlignment="1">
      <alignment horizontal="center"/>
    </xf>
    <xf numFmtId="49" fontId="13" fillId="7" borderId="0" xfId="0" applyNumberFormat="1" applyFont="1" applyFill="1" applyAlignment="1">
      <alignment horizontal="center"/>
    </xf>
    <xf numFmtId="0" fontId="1" fillId="7" borderId="13" xfId="0" applyFont="1" applyFill="1" applyBorder="1" applyAlignment="1">
      <alignment horizontal="left" indent="1"/>
    </xf>
    <xf numFmtId="0" fontId="6" fillId="7" borderId="0" xfId="0" applyFont="1" applyFill="1" applyAlignment="1">
      <alignment horizontal="center"/>
    </xf>
    <xf numFmtId="0" fontId="1" fillId="11" borderId="0" xfId="1" applyFill="1" applyAlignment="1" applyProtection="1">
      <alignment horizontal="center" wrapText="1"/>
      <protection locked="0"/>
    </xf>
    <xf numFmtId="2" fontId="0" fillId="7" borderId="13" xfId="0" applyNumberFormat="1" applyFill="1" applyBorder="1" applyAlignment="1" applyProtection="1">
      <alignment horizontal="left" indent="1"/>
      <protection locked="0"/>
    </xf>
    <xf numFmtId="0" fontId="37" fillId="7" borderId="13" xfId="0" applyFont="1" applyFill="1" applyBorder="1" applyAlignment="1">
      <alignment horizontal="left" indent="1"/>
    </xf>
    <xf numFmtId="0" fontId="39" fillId="7" borderId="0" xfId="0" applyFont="1" applyFill="1" applyAlignment="1">
      <alignment horizontal="center"/>
    </xf>
    <xf numFmtId="0" fontId="0" fillId="7" borderId="13" xfId="0" applyFill="1" applyBorder="1" applyAlignment="1">
      <alignment horizontal="left" indent="1"/>
    </xf>
    <xf numFmtId="0" fontId="6" fillId="7" borderId="13" xfId="0" applyFont="1" applyFill="1" applyBorder="1" applyAlignment="1">
      <alignment horizontal="left" indent="1"/>
    </xf>
    <xf numFmtId="9" fontId="35" fillId="7" borderId="13" xfId="10" applyFont="1" applyFill="1" applyBorder="1" applyAlignment="1">
      <alignment horizontal="left" indent="1"/>
    </xf>
    <xf numFmtId="2" fontId="1" fillId="7" borderId="0" xfId="1" applyNumberFormat="1" applyFill="1" applyAlignment="1" applyProtection="1">
      <alignment horizontal="center" wrapText="1"/>
      <protection locked="0"/>
    </xf>
    <xf numFmtId="164" fontId="1" fillId="7" borderId="25" xfId="0" applyNumberFormat="1" applyFont="1" applyFill="1" applyBorder="1" applyAlignment="1">
      <alignment horizontal="center"/>
    </xf>
    <xf numFmtId="2" fontId="1" fillId="7" borderId="25" xfId="1" applyNumberFormat="1" applyFill="1" applyBorder="1" applyAlignment="1" applyProtection="1">
      <alignment horizontal="center" wrapText="1"/>
      <protection locked="0"/>
    </xf>
    <xf numFmtId="0" fontId="0" fillId="7" borderId="17" xfId="0" applyFill="1" applyBorder="1" applyAlignment="1">
      <alignment horizontal="center"/>
    </xf>
    <xf numFmtId="0" fontId="2" fillId="7" borderId="0" xfId="1" applyFont="1" applyFill="1" applyAlignment="1">
      <alignment horizontal="center" wrapText="1"/>
    </xf>
    <xf numFmtId="2" fontId="2" fillId="7" borderId="0" xfId="1" applyNumberFormat="1" applyFont="1" applyFill="1" applyAlignment="1" applyProtection="1">
      <alignment horizontal="center" wrapText="1"/>
      <protection locked="0"/>
    </xf>
    <xf numFmtId="0" fontId="1" fillId="0" borderId="25" xfId="1" applyBorder="1" applyAlignment="1" applyProtection="1">
      <alignment horizontal="center" wrapText="1"/>
      <protection locked="0"/>
    </xf>
    <xf numFmtId="0" fontId="0" fillId="7" borderId="25" xfId="0" applyFill="1" applyBorder="1" applyAlignment="1">
      <alignment horizontal="center"/>
    </xf>
    <xf numFmtId="0" fontId="21" fillId="7" borderId="0" xfId="1" applyFont="1" applyFill="1" applyAlignment="1">
      <alignment horizontal="center" wrapText="1"/>
    </xf>
    <xf numFmtId="2" fontId="21" fillId="7" borderId="0" xfId="1" applyNumberFormat="1" applyFont="1" applyFill="1" applyAlignment="1" applyProtection="1">
      <alignment horizontal="center" wrapText="1"/>
      <protection locked="0"/>
    </xf>
    <xf numFmtId="1" fontId="21" fillId="7" borderId="0" xfId="1" applyNumberFormat="1" applyFont="1" applyFill="1" applyAlignment="1" applyProtection="1">
      <alignment horizontal="center" wrapText="1"/>
      <protection locked="0"/>
    </xf>
    <xf numFmtId="0" fontId="5" fillId="3" borderId="36" xfId="1" applyFont="1" applyFill="1" applyBorder="1" applyAlignment="1">
      <alignment horizontal="center"/>
    </xf>
    <xf numFmtId="0" fontId="5" fillId="3" borderId="36" xfId="1" applyFont="1" applyFill="1" applyBorder="1" applyAlignment="1">
      <alignment horizontal="center" wrapText="1"/>
    </xf>
    <xf numFmtId="2" fontId="5" fillId="3" borderId="36" xfId="1" applyNumberFormat="1" applyFont="1" applyFill="1" applyBorder="1" applyAlignment="1">
      <alignment horizontal="center" wrapText="1"/>
    </xf>
    <xf numFmtId="1" fontId="5" fillId="3" borderId="36" xfId="1" applyNumberFormat="1" applyFont="1" applyFill="1" applyBorder="1" applyAlignment="1">
      <alignment horizontal="center" wrapText="1"/>
    </xf>
    <xf numFmtId="0" fontId="47" fillId="7" borderId="18" xfId="0" applyFont="1" applyFill="1" applyBorder="1" applyAlignment="1">
      <alignment horizontal="center"/>
    </xf>
    <xf numFmtId="0" fontId="5" fillId="7" borderId="12" xfId="1" applyFont="1" applyFill="1" applyBorder="1" applyAlignment="1">
      <alignment horizontal="left" wrapText="1" indent="1"/>
    </xf>
    <xf numFmtId="0" fontId="5" fillId="3" borderId="23" xfId="1" applyFont="1" applyFill="1" applyBorder="1" applyAlignment="1">
      <alignment horizontal="left" vertical="center" indent="1"/>
    </xf>
    <xf numFmtId="0" fontId="5" fillId="3" borderId="20" xfId="1" applyFont="1" applyFill="1" applyBorder="1" applyAlignment="1">
      <alignment horizontal="center" vertical="center"/>
    </xf>
    <xf numFmtId="0" fontId="5" fillId="3" borderId="20" xfId="1" applyFont="1" applyFill="1" applyBorder="1" applyAlignment="1">
      <alignment horizontal="center" vertical="center" wrapText="1"/>
    </xf>
    <xf numFmtId="2" fontId="5" fillId="3" borderId="20" xfId="1" applyNumberFormat="1" applyFont="1" applyFill="1" applyBorder="1" applyAlignment="1">
      <alignment horizontal="center" vertical="center" wrapText="1"/>
    </xf>
    <xf numFmtId="1" fontId="5" fillId="3" borderId="20" xfId="1" applyNumberFormat="1" applyFont="1" applyFill="1" applyBorder="1" applyAlignment="1">
      <alignment horizontal="center" vertical="center" wrapText="1"/>
    </xf>
    <xf numFmtId="0" fontId="5" fillId="3" borderId="25" xfId="1" applyFont="1" applyFill="1" applyBorder="1" applyAlignment="1">
      <alignment horizontal="center" vertical="center"/>
    </xf>
    <xf numFmtId="0" fontId="5" fillId="3" borderId="25" xfId="1" applyFont="1" applyFill="1" applyBorder="1" applyAlignment="1">
      <alignment horizontal="center" vertical="center" wrapText="1"/>
    </xf>
    <xf numFmtId="2" fontId="5" fillId="3" borderId="25" xfId="1" applyNumberFormat="1" applyFont="1" applyFill="1" applyBorder="1" applyAlignment="1">
      <alignment horizontal="center" vertical="center" wrapText="1"/>
    </xf>
    <xf numFmtId="1" fontId="5" fillId="3" borderId="25" xfId="1" applyNumberFormat="1" applyFont="1" applyFill="1" applyBorder="1" applyAlignment="1">
      <alignment horizontal="center" vertical="center" wrapText="1"/>
    </xf>
    <xf numFmtId="0" fontId="5" fillId="7" borderId="23" xfId="1" applyFont="1" applyFill="1" applyBorder="1" applyAlignment="1">
      <alignment horizontal="left" wrapText="1" indent="1"/>
    </xf>
    <xf numFmtId="0" fontId="1" fillId="7" borderId="20" xfId="1" applyFill="1" applyBorder="1" applyAlignment="1">
      <alignment horizontal="center" wrapText="1"/>
    </xf>
    <xf numFmtId="2" fontId="1" fillId="7" borderId="20" xfId="1" applyNumberFormat="1" applyFill="1" applyBorder="1" applyAlignment="1" applyProtection="1">
      <alignment horizontal="center" wrapText="1"/>
      <protection locked="0"/>
    </xf>
    <xf numFmtId="1" fontId="1" fillId="7" borderId="20" xfId="1" applyNumberFormat="1" applyFill="1" applyBorder="1" applyAlignment="1" applyProtection="1">
      <alignment horizontal="center" wrapText="1"/>
      <protection locked="0"/>
    </xf>
    <xf numFmtId="0" fontId="1" fillId="0" borderId="20" xfId="1" applyBorder="1" applyAlignment="1" applyProtection="1">
      <alignment horizontal="center" wrapText="1"/>
      <protection locked="0"/>
    </xf>
    <xf numFmtId="0" fontId="0" fillId="0" borderId="20" xfId="0" applyBorder="1" applyAlignment="1" applyProtection="1">
      <alignment horizontal="center"/>
      <protection locked="0"/>
    </xf>
    <xf numFmtId="0" fontId="0" fillId="7" borderId="24" xfId="0" applyFill="1" applyBorder="1" applyAlignment="1">
      <alignment horizontal="center"/>
    </xf>
    <xf numFmtId="0" fontId="0" fillId="7" borderId="25" xfId="0" applyFill="1" applyBorder="1" applyAlignment="1" applyProtection="1">
      <alignment horizontal="center"/>
      <protection locked="0"/>
    </xf>
    <xf numFmtId="0" fontId="1" fillId="7" borderId="20" xfId="1" applyFill="1" applyBorder="1" applyAlignment="1" applyProtection="1">
      <alignment horizontal="center" wrapText="1"/>
      <protection locked="0"/>
    </xf>
    <xf numFmtId="0" fontId="2" fillId="7" borderId="0" xfId="1" applyFont="1" applyFill="1" applyAlignment="1" applyProtection="1">
      <alignment horizontal="center" wrapText="1"/>
      <protection locked="0"/>
    </xf>
    <xf numFmtId="0" fontId="2" fillId="7" borderId="18" xfId="1" applyFont="1" applyFill="1" applyBorder="1" applyAlignment="1" applyProtection="1">
      <alignment horizontal="center" wrapText="1"/>
      <protection locked="0"/>
    </xf>
    <xf numFmtId="0" fontId="5" fillId="17" borderId="34" xfId="1" applyFont="1" applyFill="1" applyBorder="1" applyAlignment="1">
      <alignment horizontal="left" vertical="center" wrapText="1" indent="1"/>
    </xf>
    <xf numFmtId="0" fontId="5" fillId="17" borderId="36" xfId="1" applyFont="1" applyFill="1" applyBorder="1" applyAlignment="1">
      <alignment horizontal="center" vertical="center" wrapText="1"/>
    </xf>
    <xf numFmtId="2" fontId="5" fillId="17" borderId="36" xfId="1" applyNumberFormat="1" applyFont="1" applyFill="1" applyBorder="1" applyAlignment="1" applyProtection="1">
      <alignment horizontal="center" vertical="center" wrapText="1"/>
      <protection locked="0"/>
    </xf>
    <xf numFmtId="1" fontId="5" fillId="17" borderId="36" xfId="1" applyNumberFormat="1" applyFont="1" applyFill="1" applyBorder="1" applyAlignment="1" applyProtection="1">
      <alignment horizontal="center" vertical="center" wrapText="1"/>
      <protection locked="0"/>
    </xf>
    <xf numFmtId="0" fontId="0" fillId="17" borderId="35" xfId="0" applyFill="1" applyBorder="1" applyAlignment="1">
      <alignment horizontal="center" vertical="center"/>
    </xf>
    <xf numFmtId="0" fontId="1" fillId="7" borderId="0" xfId="1" applyFill="1" applyAlignment="1">
      <alignment horizontal="center" vertical="center" wrapText="1"/>
    </xf>
    <xf numFmtId="0" fontId="5" fillId="7" borderId="0" xfId="1" applyFont="1" applyFill="1" applyAlignment="1">
      <alignment horizontal="center" vertical="center" wrapText="1"/>
    </xf>
    <xf numFmtId="0" fontId="21" fillId="7" borderId="0" xfId="1" applyFont="1" applyFill="1" applyAlignment="1" applyProtection="1">
      <alignment horizontal="center" wrapText="1"/>
      <protection locked="0"/>
    </xf>
    <xf numFmtId="0" fontId="5" fillId="3" borderId="20" xfId="1" applyFont="1" applyFill="1" applyBorder="1" applyAlignment="1" applyProtection="1">
      <alignment horizontal="center" vertical="center"/>
      <protection locked="0"/>
    </xf>
    <xf numFmtId="0" fontId="5" fillId="3" borderId="36" xfId="1" applyFont="1" applyFill="1" applyBorder="1" applyAlignment="1" applyProtection="1">
      <alignment horizontal="center"/>
      <protection locked="0"/>
    </xf>
    <xf numFmtId="0" fontId="0" fillId="4" borderId="0" xfId="0" applyFill="1" applyAlignment="1">
      <alignment horizontal="center"/>
    </xf>
    <xf numFmtId="2" fontId="0" fillId="16" borderId="20" xfId="0" applyNumberFormat="1" applyFill="1" applyBorder="1" applyAlignment="1" applyProtection="1">
      <alignment horizontal="center"/>
      <protection locked="0"/>
    </xf>
    <xf numFmtId="2" fontId="0" fillId="16" borderId="3" xfId="0" applyNumberFormat="1" applyFill="1" applyBorder="1" applyAlignment="1" applyProtection="1">
      <alignment horizontal="center"/>
      <protection locked="0"/>
    </xf>
    <xf numFmtId="2" fontId="0" fillId="11" borderId="0" xfId="0" applyNumberFormat="1" applyFill="1" applyAlignment="1" applyProtection="1">
      <alignment horizontal="center"/>
      <protection locked="0"/>
    </xf>
    <xf numFmtId="2" fontId="0" fillId="11" borderId="25" xfId="0" applyNumberFormat="1" applyFill="1" applyBorder="1" applyAlignment="1" applyProtection="1">
      <alignment horizontal="center"/>
      <protection locked="0"/>
    </xf>
    <xf numFmtId="0" fontId="1" fillId="0" borderId="0" xfId="0" applyFont="1" applyAlignment="1" applyProtection="1">
      <alignment horizontal="center"/>
      <protection locked="0"/>
    </xf>
    <xf numFmtId="3" fontId="1" fillId="0" borderId="0" xfId="0" applyNumberFormat="1" applyFont="1" applyAlignment="1" applyProtection="1">
      <alignment horizontal="center"/>
      <protection locked="0"/>
    </xf>
    <xf numFmtId="1" fontId="2" fillId="7" borderId="25" xfId="1" applyNumberFormat="1" applyFont="1" applyFill="1" applyBorder="1" applyAlignment="1" applyProtection="1">
      <alignment horizontal="center" wrapText="1"/>
      <protection locked="0"/>
    </xf>
    <xf numFmtId="0" fontId="2" fillId="7" borderId="25" xfId="1" applyFont="1" applyFill="1" applyBorder="1" applyAlignment="1" applyProtection="1">
      <alignment horizontal="center" wrapText="1"/>
      <protection locked="0"/>
    </xf>
    <xf numFmtId="2" fontId="5" fillId="17" borderId="34" xfId="1" applyNumberFormat="1" applyFont="1" applyFill="1" applyBorder="1" applyAlignment="1" applyProtection="1">
      <alignment horizontal="left" vertical="center" wrapText="1" indent="1"/>
      <protection locked="0"/>
    </xf>
    <xf numFmtId="0" fontId="2" fillId="0" borderId="0" xfId="1" applyFont="1" applyAlignment="1" applyProtection="1">
      <alignment horizontal="center" wrapText="1"/>
      <protection locked="0"/>
    </xf>
    <xf numFmtId="0" fontId="1" fillId="7" borderId="13" xfId="1" applyFill="1" applyBorder="1" applyAlignment="1">
      <alignment horizontal="left" vertical="center" wrapText="1" indent="1"/>
    </xf>
    <xf numFmtId="1" fontId="1" fillId="7" borderId="0" xfId="1" quotePrefix="1" applyNumberFormat="1" applyFill="1" applyAlignment="1" applyProtection="1">
      <alignment horizontal="right" vertical="center"/>
      <protection locked="0"/>
    </xf>
    <xf numFmtId="0" fontId="1" fillId="0" borderId="0" xfId="1" applyAlignment="1" applyProtection="1">
      <alignment horizontal="center" vertical="center" wrapText="1"/>
      <protection locked="0"/>
    </xf>
    <xf numFmtId="0" fontId="2" fillId="0" borderId="0" xfId="1" applyFont="1" applyAlignment="1" applyProtection="1">
      <alignment horizontal="center" vertical="center" wrapText="1"/>
      <protection locked="0"/>
    </xf>
    <xf numFmtId="0" fontId="2" fillId="0" borderId="25" xfId="1" applyFont="1" applyBorder="1" applyAlignment="1" applyProtection="1">
      <alignment horizontal="center" wrapText="1"/>
      <protection locked="0"/>
    </xf>
    <xf numFmtId="1" fontId="1" fillId="7" borderId="0" xfId="1" quotePrefix="1" applyNumberFormat="1" applyFill="1" applyAlignment="1" applyProtection="1">
      <alignment horizontal="center" vertical="center" wrapText="1"/>
      <protection locked="0"/>
    </xf>
    <xf numFmtId="164" fontId="1" fillId="8" borderId="0" xfId="1" applyNumberFormat="1" applyFill="1" applyAlignment="1">
      <alignment horizontal="center" vertical="center" wrapText="1"/>
    </xf>
    <xf numFmtId="164" fontId="2" fillId="8" borderId="0" xfId="1" applyNumberFormat="1" applyFont="1" applyFill="1" applyAlignment="1">
      <alignment horizontal="center" vertical="center" wrapText="1"/>
    </xf>
    <xf numFmtId="164" fontId="2" fillId="8" borderId="18" xfId="1" applyNumberFormat="1" applyFont="1" applyFill="1" applyBorder="1" applyAlignment="1">
      <alignment horizontal="center" vertical="center" wrapText="1"/>
    </xf>
    <xf numFmtId="164" fontId="1" fillId="8" borderId="25" xfId="1" applyNumberFormat="1" applyFill="1" applyBorder="1" applyAlignment="1">
      <alignment horizontal="center" wrapText="1"/>
    </xf>
    <xf numFmtId="164" fontId="0" fillId="8" borderId="17" xfId="0" applyNumberFormat="1" applyFill="1" applyBorder="1" applyAlignment="1">
      <alignment horizontal="center"/>
    </xf>
    <xf numFmtId="164" fontId="2" fillId="0" borderId="0" xfId="1" applyNumberFormat="1" applyFont="1" applyAlignment="1" applyProtection="1">
      <alignment horizontal="center" wrapText="1"/>
      <protection locked="0"/>
    </xf>
    <xf numFmtId="164" fontId="2" fillId="0" borderId="18" xfId="1" applyNumberFormat="1" applyFont="1" applyBorder="1" applyAlignment="1" applyProtection="1">
      <alignment horizontal="center" wrapText="1"/>
      <protection locked="0"/>
    </xf>
    <xf numFmtId="164" fontId="1" fillId="7" borderId="12" xfId="1" applyNumberFormat="1" applyFill="1" applyBorder="1" applyAlignment="1">
      <alignment horizontal="center" wrapText="1"/>
    </xf>
    <xf numFmtId="164" fontId="1" fillId="7" borderId="25" xfId="1" applyNumberFormat="1" applyFill="1" applyBorder="1" applyAlignment="1">
      <alignment horizontal="center" wrapText="1"/>
    </xf>
    <xf numFmtId="164" fontId="2" fillId="7" borderId="25" xfId="1" applyNumberFormat="1" applyFont="1" applyFill="1" applyBorder="1" applyAlignment="1">
      <alignment horizontal="center" wrapText="1"/>
    </xf>
    <xf numFmtId="164" fontId="2" fillId="7" borderId="17" xfId="1" applyNumberFormat="1" applyFont="1" applyFill="1" applyBorder="1" applyAlignment="1">
      <alignment horizontal="center" wrapText="1"/>
    </xf>
    <xf numFmtId="164" fontId="0" fillId="0" borderId="18" xfId="0" applyNumberFormat="1" applyBorder="1" applyAlignment="1" applyProtection="1">
      <alignment horizontal="center"/>
      <protection locked="0"/>
    </xf>
    <xf numFmtId="164" fontId="0" fillId="0" borderId="25" xfId="0" applyNumberFormat="1" applyBorder="1" applyAlignment="1" applyProtection="1">
      <alignment horizontal="center"/>
      <protection locked="0"/>
    </xf>
    <xf numFmtId="164" fontId="0" fillId="0" borderId="17" xfId="0" applyNumberFormat="1" applyBorder="1" applyAlignment="1" applyProtection="1">
      <alignment horizontal="center"/>
      <protection locked="0"/>
    </xf>
    <xf numFmtId="164" fontId="35" fillId="8" borderId="23" xfId="0" applyNumberFormat="1" applyFont="1" applyFill="1" applyBorder="1" applyAlignment="1">
      <alignment horizontal="center"/>
    </xf>
    <xf numFmtId="164" fontId="35" fillId="8" borderId="20" xfId="0" applyNumberFormat="1" applyFont="1" applyFill="1" applyBorder="1" applyAlignment="1">
      <alignment horizontal="center"/>
    </xf>
    <xf numFmtId="0" fontId="0" fillId="8" borderId="20" xfId="0" applyFill="1" applyBorder="1" applyAlignment="1" applyProtection="1">
      <alignment horizontal="center"/>
      <protection locked="0"/>
    </xf>
    <xf numFmtId="0" fontId="0" fillId="8" borderId="24" xfId="0" applyFill="1" applyBorder="1" applyAlignment="1" applyProtection="1">
      <alignment horizontal="center"/>
      <protection locked="0"/>
    </xf>
    <xf numFmtId="0" fontId="5" fillId="9" borderId="34" xfId="1"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horizontal="center" vertical="center"/>
    </xf>
    <xf numFmtId="0" fontId="0" fillId="4" borderId="0" xfId="0" applyFill="1" applyAlignment="1">
      <alignment horizontal="center" vertical="center" wrapText="1"/>
    </xf>
    <xf numFmtId="9" fontId="0" fillId="4" borderId="0" xfId="0" applyNumberFormat="1" applyFill="1" applyAlignment="1">
      <alignment horizontal="center" vertical="center" wrapText="1"/>
    </xf>
    <xf numFmtId="0" fontId="0" fillId="0" borderId="0" xfId="0" applyAlignment="1">
      <alignment vertical="center"/>
    </xf>
    <xf numFmtId="0" fontId="1" fillId="7" borderId="0" xfId="1" applyFill="1" applyAlignment="1" applyProtection="1">
      <alignment horizontal="center" vertical="center" wrapText="1"/>
      <protection locked="0"/>
    </xf>
    <xf numFmtId="0" fontId="0" fillId="7"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9" fontId="0" fillId="0" borderId="0" xfId="0" applyNumberFormat="1" applyAlignment="1" applyProtection="1">
      <alignment horizontal="center" vertical="center"/>
      <protection locked="0"/>
    </xf>
    <xf numFmtId="0" fontId="5" fillId="7" borderId="23" xfId="1" applyFont="1" applyFill="1" applyBorder="1" applyAlignment="1">
      <alignment horizontal="left"/>
    </xf>
    <xf numFmtId="2" fontId="2" fillId="7" borderId="20" xfId="1" applyNumberFormat="1" applyFont="1" applyFill="1" applyBorder="1" applyAlignment="1">
      <alignment horizontal="left" wrapText="1"/>
    </xf>
    <xf numFmtId="0" fontId="2" fillId="7" borderId="20" xfId="1" applyFont="1" applyFill="1" applyBorder="1" applyAlignment="1">
      <alignment horizontal="left" wrapText="1"/>
    </xf>
    <xf numFmtId="0" fontId="5" fillId="7" borderId="20" xfId="1" applyFont="1" applyFill="1" applyBorder="1" applyAlignment="1">
      <alignment horizontal="right" wrapText="1"/>
    </xf>
    <xf numFmtId="10" fontId="2" fillId="7" borderId="20" xfId="1" applyNumberFormat="1" applyFont="1" applyFill="1" applyBorder="1" applyAlignment="1">
      <alignment horizontal="right" wrapText="1"/>
    </xf>
    <xf numFmtId="0" fontId="1" fillId="7" borderId="13" xfId="1" applyFill="1" applyBorder="1" applyAlignment="1">
      <alignment horizontal="left" wrapText="1"/>
    </xf>
    <xf numFmtId="0" fontId="5" fillId="7" borderId="13" xfId="1" applyFont="1" applyFill="1" applyBorder="1" applyAlignment="1">
      <alignment horizontal="right" wrapText="1"/>
    </xf>
    <xf numFmtId="0" fontId="1" fillId="7" borderId="12" xfId="1" applyFill="1" applyBorder="1" applyAlignment="1">
      <alignment horizontal="left" wrapText="1"/>
    </xf>
    <xf numFmtId="0" fontId="5" fillId="7" borderId="20" xfId="1" applyFont="1" applyFill="1" applyBorder="1" applyAlignment="1">
      <alignment horizontal="center" vertical="center" wrapText="1"/>
    </xf>
    <xf numFmtId="3" fontId="2" fillId="7" borderId="0" xfId="1" applyNumberFormat="1" applyFont="1" applyFill="1" applyAlignment="1">
      <alignment horizontal="center" vertical="center" wrapText="1"/>
    </xf>
    <xf numFmtId="3" fontId="2" fillId="7" borderId="25" xfId="1" applyNumberFormat="1" applyFont="1" applyFill="1" applyBorder="1" applyAlignment="1">
      <alignment horizontal="center" vertical="center" wrapText="1"/>
    </xf>
    <xf numFmtId="3" fontId="5" fillId="7" borderId="0" xfId="1" applyNumberFormat="1" applyFont="1" applyFill="1" applyAlignment="1">
      <alignment horizontal="center" vertical="center" wrapText="1"/>
    </xf>
    <xf numFmtId="10" fontId="2" fillId="7" borderId="0" xfId="1" applyNumberFormat="1" applyFont="1" applyFill="1" applyAlignment="1">
      <alignment horizontal="center" vertical="center" wrapText="1"/>
    </xf>
    <xf numFmtId="1" fontId="0" fillId="7" borderId="0" xfId="0" applyNumberFormat="1" applyFill="1" applyAlignment="1">
      <alignment horizontal="center" vertical="center"/>
    </xf>
    <xf numFmtId="3" fontId="5" fillId="7" borderId="25" xfId="1" applyNumberFormat="1" applyFont="1" applyFill="1" applyBorder="1" applyAlignment="1">
      <alignment horizontal="center" vertical="center" wrapText="1"/>
    </xf>
    <xf numFmtId="10" fontId="2" fillId="7" borderId="25" xfId="1" applyNumberFormat="1" applyFont="1" applyFill="1" applyBorder="1" applyAlignment="1">
      <alignment horizontal="center" vertical="center" wrapText="1"/>
    </xf>
    <xf numFmtId="1" fontId="0" fillId="7" borderId="25" xfId="0" applyNumberFormat="1" applyFill="1" applyBorder="1" applyAlignment="1">
      <alignment horizontal="center" vertical="center"/>
    </xf>
    <xf numFmtId="0" fontId="6" fillId="11" borderId="0" xfId="0" applyFont="1" applyFill="1" applyAlignment="1">
      <alignment horizontal="right"/>
    </xf>
    <xf numFmtId="0" fontId="5" fillId="7" borderId="13" xfId="1" applyFont="1" applyFill="1" applyBorder="1" applyAlignment="1">
      <alignment horizontal="left"/>
    </xf>
    <xf numFmtId="0" fontId="5" fillId="3" borderId="35" xfId="1" applyFont="1" applyFill="1" applyBorder="1" applyAlignment="1">
      <alignment horizontal="left"/>
    </xf>
    <xf numFmtId="0" fontId="5" fillId="3" borderId="23" xfId="1" applyFont="1" applyFill="1" applyBorder="1" applyAlignment="1">
      <alignment horizontal="left"/>
    </xf>
    <xf numFmtId="0" fontId="5" fillId="3" borderId="20" xfId="1" applyFont="1" applyFill="1" applyBorder="1" applyAlignment="1">
      <alignment horizontal="left"/>
    </xf>
    <xf numFmtId="0" fontId="5" fillId="3" borderId="24" xfId="1" applyFont="1" applyFill="1" applyBorder="1" applyAlignment="1">
      <alignment horizontal="left"/>
    </xf>
    <xf numFmtId="0" fontId="6" fillId="13" borderId="17" xfId="0" applyFont="1" applyFill="1" applyBorder="1" applyAlignment="1">
      <alignment horizontal="center" vertical="center"/>
    </xf>
    <xf numFmtId="0" fontId="5" fillId="6" borderId="20" xfId="1" applyFont="1" applyFill="1" applyBorder="1" applyAlignment="1">
      <alignment horizontal="center" vertical="center" wrapText="1"/>
    </xf>
    <xf numFmtId="0" fontId="5" fillId="10" borderId="20" xfId="1" applyFont="1" applyFill="1" applyBorder="1" applyAlignment="1">
      <alignment horizontal="center" vertical="center" wrapText="1"/>
    </xf>
    <xf numFmtId="0" fontId="6" fillId="7" borderId="13" xfId="0" applyFont="1" applyFill="1" applyBorder="1"/>
    <xf numFmtId="0" fontId="0" fillId="6" borderId="0" xfId="0" applyFill="1" applyAlignment="1">
      <alignment horizontal="center"/>
    </xf>
    <xf numFmtId="0" fontId="2" fillId="10" borderId="0" xfId="1" applyFont="1" applyFill="1" applyAlignment="1">
      <alignment horizontal="center" wrapText="1"/>
    </xf>
    <xf numFmtId="0" fontId="0" fillId="7" borderId="13" xfId="0" applyFill="1" applyBorder="1"/>
    <xf numFmtId="164" fontId="2" fillId="7" borderId="0" xfId="1" applyNumberFormat="1" applyFont="1" applyFill="1" applyAlignment="1">
      <alignment horizontal="center" wrapText="1"/>
    </xf>
    <xf numFmtId="164" fontId="2" fillId="10" borderId="0" xfId="1" applyNumberFormat="1" applyFont="1" applyFill="1" applyAlignment="1">
      <alignment horizontal="center" wrapText="1"/>
    </xf>
    <xf numFmtId="164" fontId="1" fillId="7" borderId="0" xfId="1" applyNumberFormat="1" applyFill="1" applyAlignment="1">
      <alignment horizontal="center" wrapText="1"/>
    </xf>
    <xf numFmtId="164" fontId="1" fillId="10" borderId="0" xfId="1" applyNumberFormat="1" applyFill="1" applyAlignment="1">
      <alignment horizontal="center" wrapText="1"/>
    </xf>
    <xf numFmtId="165" fontId="1" fillId="7" borderId="0" xfId="1" applyNumberFormat="1" applyFill="1" applyAlignment="1">
      <alignment horizontal="center" wrapText="1"/>
    </xf>
    <xf numFmtId="2" fontId="1" fillId="7" borderId="0" xfId="1" applyNumberFormat="1" applyFill="1" applyAlignment="1">
      <alignment horizontal="center" wrapText="1"/>
    </xf>
    <xf numFmtId="0" fontId="5" fillId="7" borderId="12" xfId="1" applyFont="1" applyFill="1" applyBorder="1" applyAlignment="1">
      <alignment horizontal="left" wrapText="1"/>
    </xf>
    <xf numFmtId="2" fontId="5" fillId="7" borderId="25" xfId="1" applyNumberFormat="1" applyFont="1" applyFill="1" applyBorder="1" applyAlignment="1">
      <alignment horizontal="center" wrapText="1"/>
    </xf>
    <xf numFmtId="165" fontId="1" fillId="7" borderId="25" xfId="1" applyNumberFormat="1" applyFill="1" applyBorder="1" applyAlignment="1">
      <alignment horizontal="center" wrapText="1"/>
    </xf>
    <xf numFmtId="164" fontId="1" fillId="10" borderId="25" xfId="1" applyNumberFormat="1" applyFill="1" applyBorder="1" applyAlignment="1">
      <alignment horizontal="center" wrapText="1"/>
    </xf>
    <xf numFmtId="2" fontId="2" fillId="0" borderId="0" xfId="1" applyNumberFormat="1" applyFont="1" applyAlignment="1">
      <alignment horizontal="center" wrapText="1"/>
    </xf>
    <xf numFmtId="10" fontId="2" fillId="0" borderId="0" xfId="1" applyNumberFormat="1" applyFont="1" applyAlignment="1">
      <alignment horizontal="center" wrapText="1"/>
    </xf>
    <xf numFmtId="0" fontId="5" fillId="7" borderId="20" xfId="1" applyFont="1" applyFill="1" applyBorder="1" applyAlignment="1">
      <alignment horizontal="left"/>
    </xf>
    <xf numFmtId="0" fontId="5" fillId="7" borderId="13" xfId="1" applyFont="1" applyFill="1" applyBorder="1" applyAlignment="1">
      <alignment horizontal="left" vertical="top" wrapText="1" indent="1"/>
    </xf>
    <xf numFmtId="0" fontId="1" fillId="7" borderId="0" xfId="1" applyFill="1"/>
    <xf numFmtId="0" fontId="1" fillId="7" borderId="0" xfId="1" applyFill="1" applyAlignment="1">
      <alignment vertical="center"/>
    </xf>
    <xf numFmtId="0" fontId="1" fillId="0" borderId="0" xfId="1" applyAlignment="1" applyProtection="1">
      <alignment horizontal="center" vertical="center"/>
      <protection locked="0"/>
    </xf>
    <xf numFmtId="0" fontId="1" fillId="7" borderId="0" xfId="1" applyFill="1" applyAlignment="1">
      <alignment horizontal="center" vertical="center"/>
    </xf>
    <xf numFmtId="164" fontId="6" fillId="13" borderId="12" xfId="0" applyNumberFormat="1" applyFont="1" applyFill="1" applyBorder="1" applyAlignment="1">
      <alignment horizontal="center" vertical="center"/>
    </xf>
    <xf numFmtId="164" fontId="6" fillId="13" borderId="17" xfId="0" applyNumberFormat="1" applyFont="1" applyFill="1" applyBorder="1" applyAlignment="1">
      <alignment horizontal="center" vertical="center"/>
    </xf>
    <xf numFmtId="0" fontId="5" fillId="3" borderId="34" xfId="1" applyFont="1" applyFill="1" applyBorder="1" applyAlignment="1">
      <alignment horizontal="left" indent="1"/>
    </xf>
    <xf numFmtId="0" fontId="5" fillId="7" borderId="13" xfId="1" applyFont="1" applyFill="1" applyBorder="1" applyAlignment="1">
      <alignment horizontal="left" vertical="center" wrapText="1" indent="1"/>
    </xf>
    <xf numFmtId="0" fontId="1" fillId="7" borderId="12" xfId="1" applyFill="1" applyBorder="1" applyAlignment="1">
      <alignment horizontal="left" vertical="center" wrapText="1" indent="1"/>
    </xf>
    <xf numFmtId="0" fontId="0" fillId="17" borderId="35" xfId="0" applyFill="1" applyBorder="1"/>
    <xf numFmtId="164" fontId="6" fillId="13" borderId="12" xfId="0" applyNumberFormat="1" applyFont="1" applyFill="1" applyBorder="1" applyAlignment="1">
      <alignment vertical="center"/>
    </xf>
    <xf numFmtId="0" fontId="5" fillId="7" borderId="12" xfId="1" applyFont="1" applyFill="1" applyBorder="1" applyAlignment="1">
      <alignment horizontal="right" wrapText="1"/>
    </xf>
    <xf numFmtId="0" fontId="5" fillId="7" borderId="0" xfId="1" applyFont="1" applyFill="1" applyAlignment="1">
      <alignment horizontal="left" vertical="center"/>
    </xf>
    <xf numFmtId="0" fontId="5" fillId="7" borderId="0" xfId="1" applyFont="1" applyFill="1" applyAlignment="1">
      <alignment horizontal="center" vertical="center"/>
    </xf>
    <xf numFmtId="164" fontId="13" fillId="0" borderId="0" xfId="1" applyNumberFormat="1" applyFont="1" applyAlignment="1" applyProtection="1">
      <alignment horizontal="center" wrapText="1"/>
      <protection locked="0"/>
    </xf>
    <xf numFmtId="0" fontId="50" fillId="7" borderId="13" xfId="0" applyFont="1" applyFill="1" applyBorder="1" applyAlignment="1">
      <alignment horizontal="left" indent="1"/>
    </xf>
    <xf numFmtId="0" fontId="13" fillId="7" borderId="13" xfId="0" applyFont="1" applyFill="1" applyBorder="1" applyAlignment="1">
      <alignment horizontal="left" wrapText="1" indent="1"/>
    </xf>
    <xf numFmtId="0" fontId="13" fillId="7" borderId="13" xfId="0" applyFont="1" applyFill="1" applyBorder="1" applyAlignment="1">
      <alignment horizontal="left" indent="1"/>
    </xf>
    <xf numFmtId="164" fontId="13" fillId="8" borderId="18" xfId="1" applyNumberFormat="1" applyFont="1" applyFill="1" applyBorder="1" applyAlignment="1">
      <alignment horizontal="center" wrapText="1"/>
    </xf>
    <xf numFmtId="164" fontId="50" fillId="7" borderId="17" xfId="0" applyNumberFormat="1" applyFont="1" applyFill="1" applyBorder="1" applyAlignment="1">
      <alignment horizontal="center"/>
    </xf>
    <xf numFmtId="170" fontId="1" fillId="7" borderId="0" xfId="11" applyNumberFormat="1" applyFont="1" applyFill="1" applyAlignment="1" applyProtection="1">
      <alignment horizontal="center" wrapText="1"/>
      <protection locked="0"/>
    </xf>
    <xf numFmtId="0" fontId="5" fillId="7" borderId="20" xfId="1" applyFont="1" applyFill="1" applyBorder="1"/>
    <xf numFmtId="0" fontId="5" fillId="7" borderId="24" xfId="1" applyFont="1" applyFill="1" applyBorder="1"/>
    <xf numFmtId="0" fontId="5" fillId="7" borderId="18" xfId="1" applyFont="1" applyFill="1" applyBorder="1" applyAlignment="1">
      <alignment horizontal="left"/>
    </xf>
    <xf numFmtId="0" fontId="5" fillId="7" borderId="13" xfId="1" applyFont="1" applyFill="1" applyBorder="1"/>
    <xf numFmtId="0" fontId="2" fillId="7" borderId="13" xfId="1" applyFont="1" applyFill="1" applyBorder="1" applyAlignment="1">
      <alignment horizontal="left" wrapText="1"/>
    </xf>
    <xf numFmtId="0" fontId="2" fillId="7" borderId="12" xfId="1" applyFont="1" applyFill="1" applyBorder="1" applyAlignment="1">
      <alignment horizontal="left" wrapText="1"/>
    </xf>
    <xf numFmtId="0" fontId="2" fillId="7" borderId="25" xfId="1" applyFont="1" applyFill="1" applyBorder="1" applyAlignment="1">
      <alignment horizontal="left" wrapText="1"/>
    </xf>
    <xf numFmtId="0" fontId="2" fillId="7" borderId="23" xfId="1" applyFont="1" applyFill="1" applyBorder="1" applyAlignment="1">
      <alignment horizontal="left" wrapText="1"/>
    </xf>
    <xf numFmtId="0" fontId="1" fillId="7" borderId="20" xfId="1" applyFill="1" applyBorder="1" applyAlignment="1">
      <alignment horizontal="left" wrapText="1"/>
    </xf>
    <xf numFmtId="0" fontId="5" fillId="7" borderId="24" xfId="1" applyFont="1" applyFill="1" applyBorder="1" applyAlignment="1">
      <alignment horizontal="left"/>
    </xf>
    <xf numFmtId="0" fontId="5" fillId="7" borderId="25" xfId="1" applyFont="1" applyFill="1" applyBorder="1" applyAlignment="1">
      <alignment horizontal="left"/>
    </xf>
    <xf numFmtId="0" fontId="5" fillId="7" borderId="17" xfId="1" applyFont="1" applyFill="1" applyBorder="1" applyAlignment="1">
      <alignment horizontal="left"/>
    </xf>
    <xf numFmtId="3" fontId="0" fillId="7" borderId="21" xfId="0" quotePrefix="1" applyNumberFormat="1" applyFill="1" applyBorder="1" applyAlignment="1">
      <alignment horizontal="center"/>
    </xf>
    <xf numFmtId="1" fontId="6" fillId="5" borderId="0" xfId="0" applyNumberFormat="1" applyFont="1" applyFill="1" applyAlignment="1">
      <alignment horizontal="center"/>
    </xf>
    <xf numFmtId="3" fontId="0" fillId="5" borderId="0" xfId="0" applyNumberFormat="1" applyFill="1" applyAlignment="1">
      <alignment horizontal="center"/>
    </xf>
    <xf numFmtId="1" fontId="0" fillId="7" borderId="0" xfId="0" applyNumberFormat="1" applyFill="1" applyAlignment="1">
      <alignment horizontal="center"/>
    </xf>
    <xf numFmtId="3" fontId="0" fillId="7" borderId="0" xfId="0" applyNumberFormat="1" applyFill="1" applyAlignment="1">
      <alignment horizontal="center"/>
    </xf>
    <xf numFmtId="0" fontId="16" fillId="7" borderId="0" xfId="0" applyFont="1" applyFill="1"/>
    <xf numFmtId="3" fontId="6" fillId="5" borderId="0" xfId="0" applyNumberFormat="1" applyFont="1" applyFill="1" applyAlignment="1">
      <alignment horizontal="center"/>
    </xf>
    <xf numFmtId="3" fontId="0" fillId="7" borderId="0" xfId="0" quotePrefix="1" applyNumberFormat="1" applyFill="1" applyAlignment="1">
      <alignment horizontal="center"/>
    </xf>
    <xf numFmtId="0" fontId="0" fillId="11" borderId="0" xfId="0" applyFill="1" applyAlignment="1">
      <alignment horizontal="center"/>
    </xf>
    <xf numFmtId="0" fontId="12" fillId="7" borderId="1" xfId="1" applyFont="1" applyFill="1" applyBorder="1" applyAlignment="1" applyProtection="1">
      <alignment horizontal="center" wrapText="1"/>
      <protection locked="0"/>
    </xf>
    <xf numFmtId="1" fontId="0" fillId="13" borderId="1" xfId="0" applyNumberFormat="1" applyFill="1" applyBorder="1" applyAlignment="1">
      <alignment horizontal="center"/>
    </xf>
    <xf numFmtId="0" fontId="0" fillId="9" borderId="1" xfId="0" applyFill="1" applyBorder="1" applyAlignment="1">
      <alignment horizontal="center"/>
    </xf>
    <xf numFmtId="0" fontId="51" fillId="0" borderId="0" xfId="0" applyFont="1"/>
    <xf numFmtId="0" fontId="12" fillId="0" borderId="0" xfId="1" applyFont="1" applyAlignment="1" applyProtection="1">
      <alignment horizontal="center" wrapText="1"/>
      <protection locked="0"/>
    </xf>
    <xf numFmtId="1" fontId="0" fillId="0" borderId="0" xfId="0" applyNumberFormat="1" applyAlignment="1">
      <alignment horizontal="center"/>
    </xf>
    <xf numFmtId="9" fontId="1" fillId="0" borderId="0" xfId="0" applyNumberFormat="1" applyFont="1" applyAlignment="1" applyProtection="1">
      <alignment horizontal="center"/>
      <protection locked="0"/>
    </xf>
    <xf numFmtId="0" fontId="1" fillId="7" borderId="0" xfId="1" applyFill="1" applyAlignment="1">
      <alignment horizontal="center"/>
    </xf>
    <xf numFmtId="0" fontId="5" fillId="7" borderId="18" xfId="1" applyFont="1" applyFill="1" applyBorder="1" applyAlignment="1">
      <alignment horizontal="left" vertical="center"/>
    </xf>
    <xf numFmtId="0" fontId="1" fillId="7" borderId="18" xfId="1" applyFill="1" applyBorder="1"/>
    <xf numFmtId="0" fontId="1" fillId="7" borderId="25" xfId="1" applyFill="1" applyBorder="1"/>
    <xf numFmtId="0" fontId="1" fillId="7" borderId="17" xfId="1" applyFill="1" applyBorder="1"/>
    <xf numFmtId="9" fontId="0" fillId="7" borderId="0" xfId="10" applyFont="1" applyFill="1" applyAlignment="1">
      <alignment horizontal="center"/>
    </xf>
    <xf numFmtId="9" fontId="0" fillId="7" borderId="0" xfId="0" applyNumberFormat="1" applyFill="1" applyAlignment="1">
      <alignment horizontal="center"/>
    </xf>
    <xf numFmtId="0" fontId="7" fillId="7" borderId="0" xfId="1" applyFont="1" applyFill="1" applyAlignment="1">
      <alignment horizontal="center"/>
    </xf>
    <xf numFmtId="0" fontId="0" fillId="0" borderId="0" xfId="0" applyAlignment="1" applyProtection="1">
      <alignment horizontal="center" vertical="top" wrapText="1"/>
      <protection locked="0"/>
    </xf>
    <xf numFmtId="9" fontId="1" fillId="7" borderId="0" xfId="10" applyFont="1" applyFill="1" applyAlignment="1">
      <alignment horizontal="center" wrapText="1"/>
    </xf>
    <xf numFmtId="0" fontId="5" fillId="7" borderId="2" xfId="1" applyFont="1" applyFill="1" applyBorder="1" applyAlignment="1">
      <alignment horizontal="center" wrapText="1"/>
    </xf>
    <xf numFmtId="0" fontId="5" fillId="3" borderId="36" xfId="1" applyFont="1" applyFill="1" applyBorder="1" applyAlignment="1">
      <alignment horizontal="left" vertical="center"/>
    </xf>
    <xf numFmtId="0" fontId="1" fillId="7" borderId="13" xfId="1" applyFill="1" applyBorder="1" applyAlignment="1">
      <alignment horizontal="left" vertical="top" wrapText="1"/>
    </xf>
    <xf numFmtId="0" fontId="1" fillId="7" borderId="13" xfId="1" applyFill="1" applyBorder="1" applyAlignment="1">
      <alignment horizontal="right" wrapText="1"/>
    </xf>
    <xf numFmtId="0" fontId="5" fillId="7" borderId="13" xfId="1" applyFont="1" applyFill="1" applyBorder="1" applyAlignment="1">
      <alignment wrapText="1"/>
    </xf>
    <xf numFmtId="0" fontId="5" fillId="7" borderId="25" xfId="1" applyFont="1" applyFill="1" applyBorder="1" applyAlignment="1">
      <alignment horizontal="left" wrapText="1"/>
    </xf>
    <xf numFmtId="0" fontId="6" fillId="13" borderId="34" xfId="0" applyFont="1" applyFill="1" applyBorder="1"/>
    <xf numFmtId="164" fontId="6" fillId="13" borderId="35" xfId="0" applyNumberFormat="1" applyFont="1" applyFill="1" applyBorder="1" applyAlignment="1">
      <alignment horizontal="center"/>
    </xf>
    <xf numFmtId="0" fontId="5" fillId="3" borderId="34" xfId="1" applyFont="1" applyFill="1" applyBorder="1" applyAlignment="1">
      <alignment horizontal="left" vertical="center"/>
    </xf>
    <xf numFmtId="0" fontId="5" fillId="3" borderId="35" xfId="1" applyFont="1" applyFill="1" applyBorder="1" applyAlignment="1">
      <alignment horizontal="left" vertical="center"/>
    </xf>
    <xf numFmtId="0" fontId="5" fillId="3" borderId="20" xfId="1" applyFont="1" applyFill="1" applyBorder="1" applyAlignment="1">
      <alignment horizontal="left" vertical="center"/>
    </xf>
    <xf numFmtId="164" fontId="6" fillId="13" borderId="34" xfId="0" applyNumberFormat="1" applyFont="1" applyFill="1" applyBorder="1" applyAlignment="1">
      <alignment horizontal="right" vertical="center"/>
    </xf>
    <xf numFmtId="164" fontId="6" fillId="13" borderId="36" xfId="0" applyNumberFormat="1" applyFont="1" applyFill="1" applyBorder="1" applyAlignment="1">
      <alignment horizontal="right" vertical="center"/>
    </xf>
    <xf numFmtId="164" fontId="6" fillId="13" borderId="35" xfId="0" applyNumberFormat="1" applyFont="1" applyFill="1" applyBorder="1" applyAlignment="1">
      <alignment horizontal="center" vertical="center"/>
    </xf>
    <xf numFmtId="0" fontId="1" fillId="0" borderId="0" xfId="1" applyAlignment="1" applyProtection="1">
      <alignment horizontal="center"/>
      <protection locked="0"/>
    </xf>
    <xf numFmtId="0" fontId="6" fillId="4" borderId="0" xfId="0" applyFont="1" applyFill="1" applyAlignment="1">
      <alignment horizontal="center"/>
    </xf>
    <xf numFmtId="0" fontId="0" fillId="4" borderId="0" xfId="0" applyFill="1" applyAlignment="1">
      <alignment horizontal="center" wrapText="1"/>
    </xf>
    <xf numFmtId="0" fontId="6" fillId="4" borderId="3" xfId="0" applyFont="1" applyFill="1" applyBorder="1" applyAlignment="1">
      <alignment horizontal="center"/>
    </xf>
    <xf numFmtId="10" fontId="0" fillId="4" borderId="0" xfId="0" applyNumberFormat="1" applyFill="1" applyAlignment="1">
      <alignment horizontal="center"/>
    </xf>
    <xf numFmtId="0" fontId="1" fillId="11" borderId="0" xfId="1" applyFill="1" applyAlignment="1" applyProtection="1">
      <alignment horizontal="center" vertical="center" wrapText="1"/>
      <protection locked="0"/>
    </xf>
    <xf numFmtId="0" fontId="48" fillId="13" borderId="34" xfId="0" applyFont="1" applyFill="1" applyBorder="1"/>
    <xf numFmtId="164" fontId="48" fillId="13" borderId="35" xfId="0" applyNumberFormat="1" applyFont="1" applyFill="1" applyBorder="1" applyAlignment="1">
      <alignment horizontal="center"/>
    </xf>
    <xf numFmtId="0" fontId="48" fillId="13" borderId="12" xfId="0" applyFont="1" applyFill="1" applyBorder="1"/>
    <xf numFmtId="0" fontId="1" fillId="7" borderId="13" xfId="1" applyFill="1" applyBorder="1" applyAlignment="1">
      <alignment horizontal="right" vertical="top" wrapText="1"/>
    </xf>
    <xf numFmtId="0" fontId="1" fillId="7" borderId="23" xfId="1" applyFill="1" applyBorder="1" applyAlignment="1">
      <alignment horizontal="left" vertical="top" wrapText="1" indent="1"/>
    </xf>
    <xf numFmtId="0" fontId="5" fillId="3" borderId="23" xfId="1" applyFont="1" applyFill="1" applyBorder="1" applyAlignment="1">
      <alignment horizontal="left" indent="1"/>
    </xf>
    <xf numFmtId="0" fontId="5" fillId="3" borderId="20" xfId="1" applyFont="1" applyFill="1" applyBorder="1" applyAlignment="1">
      <alignment horizontal="center"/>
    </xf>
    <xf numFmtId="0" fontId="1" fillId="7" borderId="2" xfId="1" applyFill="1" applyBorder="1" applyAlignment="1">
      <alignment horizontal="center" wrapText="1"/>
    </xf>
    <xf numFmtId="0" fontId="1" fillId="7" borderId="3" xfId="1" applyFill="1" applyBorder="1" applyAlignment="1">
      <alignment horizontal="center" wrapText="1"/>
    </xf>
    <xf numFmtId="0" fontId="1" fillId="7" borderId="3" xfId="1" applyFill="1" applyBorder="1"/>
    <xf numFmtId="0" fontId="1" fillId="7" borderId="2" xfId="1" applyFill="1" applyBorder="1"/>
    <xf numFmtId="0" fontId="5" fillId="7" borderId="3" xfId="1" applyFont="1" applyFill="1" applyBorder="1" applyAlignment="1">
      <alignment horizontal="center" wrapText="1"/>
    </xf>
    <xf numFmtId="0" fontId="1" fillId="7" borderId="2" xfId="1" applyFill="1" applyBorder="1" applyAlignment="1">
      <alignment horizontal="center"/>
    </xf>
    <xf numFmtId="0" fontId="1" fillId="7" borderId="32" xfId="1" applyFill="1" applyBorder="1" applyAlignment="1">
      <alignment horizontal="left" vertical="top" wrapText="1"/>
    </xf>
    <xf numFmtId="0" fontId="1" fillId="7" borderId="37" xfId="1" applyFill="1" applyBorder="1" applyAlignment="1">
      <alignment horizontal="left" vertical="top" wrapText="1"/>
    </xf>
    <xf numFmtId="0" fontId="1" fillId="7" borderId="32" xfId="1" applyFill="1" applyBorder="1" applyAlignment="1">
      <alignment horizontal="right" vertical="top" wrapText="1"/>
    </xf>
    <xf numFmtId="0" fontId="5" fillId="7" borderId="32" xfId="1" applyFont="1" applyFill="1" applyBorder="1" applyAlignment="1">
      <alignment horizontal="left" vertical="top" wrapText="1"/>
    </xf>
    <xf numFmtId="0" fontId="5" fillId="3" borderId="23" xfId="1" applyFont="1" applyFill="1" applyBorder="1" applyAlignment="1">
      <alignment horizontal="left" vertical="center" wrapText="1"/>
    </xf>
    <xf numFmtId="0" fontId="1" fillId="7" borderId="3" xfId="1" applyFill="1" applyBorder="1" applyAlignment="1">
      <alignment horizontal="left" wrapText="1"/>
    </xf>
    <xf numFmtId="0" fontId="6" fillId="13" borderId="12" xfId="0" applyFont="1" applyFill="1" applyBorder="1" applyAlignment="1">
      <alignment horizontal="right"/>
    </xf>
    <xf numFmtId="164" fontId="6" fillId="13" borderId="17" xfId="0" applyNumberFormat="1" applyFont="1" applyFill="1" applyBorder="1" applyAlignment="1">
      <alignment horizontal="center"/>
    </xf>
    <xf numFmtId="0" fontId="1" fillId="0" borderId="3" xfId="1" applyBorder="1" applyAlignment="1" applyProtection="1">
      <alignment horizontal="center" wrapText="1"/>
      <protection locked="0"/>
    </xf>
    <xf numFmtId="0" fontId="5" fillId="7" borderId="23" xfId="1" applyFont="1" applyFill="1" applyBorder="1" applyAlignment="1">
      <alignment horizontal="left" wrapText="1"/>
    </xf>
    <xf numFmtId="0" fontId="1" fillId="7" borderId="32" xfId="1" applyFill="1" applyBorder="1" applyAlignment="1">
      <alignment horizontal="left" wrapText="1"/>
    </xf>
    <xf numFmtId="0" fontId="1" fillId="7" borderId="37" xfId="1" applyFill="1" applyBorder="1" applyAlignment="1">
      <alignment horizontal="left" wrapText="1"/>
    </xf>
    <xf numFmtId="0" fontId="5" fillId="7" borderId="32" xfId="1" applyFont="1" applyFill="1" applyBorder="1" applyAlignment="1">
      <alignment horizontal="left" wrapText="1"/>
    </xf>
    <xf numFmtId="0" fontId="5" fillId="7" borderId="37" xfId="1" applyFont="1" applyFill="1" applyBorder="1" applyAlignment="1">
      <alignment horizontal="left" wrapText="1"/>
    </xf>
    <xf numFmtId="0" fontId="0" fillId="7" borderId="3" xfId="0" applyFill="1" applyBorder="1"/>
    <xf numFmtId="0" fontId="0" fillId="7" borderId="2" xfId="0" applyFill="1" applyBorder="1"/>
    <xf numFmtId="0" fontId="0" fillId="7" borderId="2" xfId="0" applyFill="1" applyBorder="1" applyAlignment="1">
      <alignment horizontal="center"/>
    </xf>
    <xf numFmtId="0" fontId="0" fillId="7" borderId="3" xfId="0" applyFill="1" applyBorder="1" applyAlignment="1">
      <alignment horizontal="center"/>
    </xf>
    <xf numFmtId="9" fontId="0" fillId="7" borderId="3" xfId="0" quotePrefix="1" applyNumberFormat="1" applyFill="1" applyBorder="1" applyAlignment="1">
      <alignment horizontal="center"/>
    </xf>
    <xf numFmtId="0" fontId="1" fillId="7" borderId="2" xfId="1" applyFill="1" applyBorder="1" applyAlignment="1">
      <alignment horizontal="center" vertical="center" wrapText="1"/>
    </xf>
    <xf numFmtId="0" fontId="1" fillId="7" borderId="3" xfId="1" applyFill="1" applyBorder="1" applyAlignment="1">
      <alignment horizontal="center" vertical="center"/>
    </xf>
    <xf numFmtId="0" fontId="1" fillId="7" borderId="2" xfId="1" applyFill="1" applyBorder="1" applyAlignment="1">
      <alignment horizontal="center" vertical="center"/>
    </xf>
    <xf numFmtId="0" fontId="1" fillId="7" borderId="3" xfId="1" applyFill="1" applyBorder="1" applyAlignment="1">
      <alignment horizontal="center" vertical="center" wrapText="1"/>
    </xf>
    <xf numFmtId="0" fontId="1" fillId="7" borderId="0" xfId="1" applyFill="1" applyAlignment="1">
      <alignment horizontal="left" vertical="center" wrapText="1" indent="1"/>
    </xf>
    <xf numFmtId="0" fontId="5" fillId="7" borderId="37" xfId="1" applyFont="1" applyFill="1" applyBorder="1" applyAlignment="1">
      <alignment horizontal="left" vertical="center" wrapText="1" indent="1"/>
    </xf>
    <xf numFmtId="0" fontId="1" fillId="7" borderId="32" xfId="1" applyFill="1" applyBorder="1" applyAlignment="1">
      <alignment horizontal="left" vertical="center" wrapText="1" indent="1"/>
    </xf>
    <xf numFmtId="0" fontId="1" fillId="7" borderId="37" xfId="1" applyFill="1" applyBorder="1" applyAlignment="1">
      <alignment horizontal="left" vertical="center" wrapText="1" indent="1"/>
    </xf>
    <xf numFmtId="0" fontId="1" fillId="7" borderId="25" xfId="1" applyFill="1" applyBorder="1" applyAlignment="1">
      <alignment horizontal="center" vertical="center"/>
    </xf>
    <xf numFmtId="0" fontId="1" fillId="7" borderId="2" xfId="1" applyFill="1" applyBorder="1" applyAlignment="1" applyProtection="1">
      <alignment horizontal="center" vertical="center" wrapText="1"/>
      <protection locked="0"/>
    </xf>
    <xf numFmtId="0" fontId="1" fillId="0" borderId="3" xfId="1" applyBorder="1" applyAlignment="1" applyProtection="1">
      <alignment horizontal="center" vertical="center" wrapText="1"/>
      <protection locked="0"/>
    </xf>
    <xf numFmtId="0" fontId="1" fillId="7" borderId="3" xfId="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6" fillId="3" borderId="23" xfId="0" applyFont="1" applyFill="1" applyBorder="1" applyAlignment="1">
      <alignment horizontal="left" indent="1"/>
    </xf>
    <xf numFmtId="0" fontId="6" fillId="3" borderId="20" xfId="0" applyFont="1" applyFill="1" applyBorder="1" applyAlignment="1">
      <alignment horizontal="center" vertical="center"/>
    </xf>
    <xf numFmtId="0" fontId="5" fillId="7" borderId="3" xfId="1" applyFont="1" applyFill="1" applyBorder="1" applyAlignment="1" applyProtection="1">
      <alignment horizontal="center" vertical="center" wrapText="1"/>
      <protection locked="0"/>
    </xf>
    <xf numFmtId="0" fontId="5" fillId="7" borderId="20" xfId="1" applyFont="1" applyFill="1" applyBorder="1" applyAlignment="1" applyProtection="1">
      <alignment horizontal="center" vertical="center" wrapText="1"/>
      <protection locked="0"/>
    </xf>
    <xf numFmtId="0" fontId="5" fillId="7" borderId="32" xfId="1" applyFont="1" applyFill="1" applyBorder="1" applyAlignment="1">
      <alignment horizontal="left" vertical="top" wrapText="1" indent="1"/>
    </xf>
    <xf numFmtId="0" fontId="5" fillId="7" borderId="37" xfId="1" applyFont="1" applyFill="1" applyBorder="1" applyAlignment="1">
      <alignment horizontal="left" vertical="top" wrapText="1" indent="1"/>
    </xf>
    <xf numFmtId="0" fontId="1" fillId="7" borderId="12" xfId="1" applyFill="1" applyBorder="1" applyAlignment="1">
      <alignment horizontal="left" vertical="top" wrapText="1" indent="1"/>
    </xf>
    <xf numFmtId="0" fontId="0" fillId="0" borderId="25" xfId="0" applyBorder="1" applyAlignment="1" applyProtection="1">
      <alignment horizontal="center" vertical="center"/>
      <protection locked="0"/>
    </xf>
    <xf numFmtId="2" fontId="5" fillId="7" borderId="16" xfId="1" applyNumberFormat="1" applyFont="1" applyFill="1" applyBorder="1" applyAlignment="1">
      <alignment horizontal="center" vertical="center" wrapText="1"/>
    </xf>
    <xf numFmtId="2" fontId="5" fillId="7" borderId="2" xfId="1" applyNumberFormat="1" applyFont="1" applyFill="1" applyBorder="1" applyAlignment="1">
      <alignment horizontal="center" vertical="center" wrapText="1"/>
    </xf>
    <xf numFmtId="0" fontId="5" fillId="7" borderId="2" xfId="1" applyFont="1" applyFill="1" applyBorder="1" applyAlignment="1">
      <alignment horizontal="center" vertical="center" wrapText="1"/>
    </xf>
    <xf numFmtId="10" fontId="5" fillId="7" borderId="2" xfId="1" applyNumberFormat="1" applyFont="1" applyFill="1" applyBorder="1" applyAlignment="1">
      <alignment horizontal="center" vertical="center"/>
    </xf>
    <xf numFmtId="10" fontId="2" fillId="7" borderId="2" xfId="1" applyNumberFormat="1"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2" xfId="0" applyFont="1" applyFill="1" applyBorder="1" applyAlignment="1">
      <alignment horizontal="center" vertical="center"/>
    </xf>
    <xf numFmtId="3" fontId="5" fillId="7" borderId="8" xfId="1" applyNumberFormat="1" applyFont="1" applyFill="1" applyBorder="1" applyAlignment="1">
      <alignment horizontal="center" vertical="center" wrapText="1"/>
    </xf>
    <xf numFmtId="3" fontId="5" fillId="7" borderId="39" xfId="1" applyNumberFormat="1" applyFont="1" applyFill="1" applyBorder="1" applyAlignment="1">
      <alignment horizontal="center" vertical="center" wrapText="1"/>
    </xf>
    <xf numFmtId="0" fontId="6" fillId="0" borderId="0" xfId="0" applyFont="1" applyAlignment="1">
      <alignment horizontal="center" vertical="center" wrapText="1"/>
    </xf>
    <xf numFmtId="0" fontId="5" fillId="10" borderId="24" xfId="1" applyFont="1" applyFill="1" applyBorder="1" applyAlignment="1">
      <alignment horizontal="center" vertical="center" wrapText="1"/>
    </xf>
    <xf numFmtId="0" fontId="2" fillId="10" borderId="18" xfId="1" applyFont="1" applyFill="1" applyBorder="1" applyAlignment="1">
      <alignment horizontal="center" wrapText="1"/>
    </xf>
    <xf numFmtId="164" fontId="2" fillId="10" borderId="18" xfId="1" applyNumberFormat="1" applyFont="1" applyFill="1" applyBorder="1" applyAlignment="1">
      <alignment horizontal="center" wrapText="1"/>
    </xf>
    <xf numFmtId="164" fontId="1" fillId="10" borderId="18" xfId="1" applyNumberFormat="1" applyFill="1" applyBorder="1" applyAlignment="1">
      <alignment horizontal="center" wrapText="1"/>
    </xf>
    <xf numFmtId="164" fontId="1" fillId="10" borderId="17" xfId="1" applyNumberFormat="1" applyFill="1" applyBorder="1" applyAlignment="1">
      <alignment horizontal="center" wrapText="1"/>
    </xf>
    <xf numFmtId="0" fontId="1" fillId="7" borderId="3" xfId="1" applyFill="1" applyBorder="1" applyAlignment="1">
      <alignment horizontal="center"/>
    </xf>
    <xf numFmtId="0" fontId="1" fillId="7" borderId="32" xfId="1" applyFill="1" applyBorder="1" applyAlignment="1">
      <alignment horizontal="left" vertical="center" wrapText="1"/>
    </xf>
    <xf numFmtId="0" fontId="1" fillId="7" borderId="25" xfId="1" applyFill="1" applyBorder="1" applyAlignment="1">
      <alignment horizontal="center"/>
    </xf>
    <xf numFmtId="0" fontId="5" fillId="3" borderId="0" xfId="1" applyFont="1" applyFill="1" applyAlignment="1">
      <alignment horizontal="center" vertical="center"/>
    </xf>
    <xf numFmtId="0" fontId="6" fillId="0" borderId="0" xfId="0" applyFont="1" applyAlignment="1">
      <alignment horizontal="center" vertical="center"/>
    </xf>
    <xf numFmtId="0" fontId="6" fillId="13" borderId="12" xfId="0" applyFont="1" applyFill="1" applyBorder="1" applyAlignment="1">
      <alignment horizontal="center" vertical="center"/>
    </xf>
    <xf numFmtId="0" fontId="5" fillId="7" borderId="3" xfId="1" applyFont="1" applyFill="1" applyBorder="1" applyAlignment="1">
      <alignment horizontal="center" vertical="center" wrapText="1"/>
    </xf>
    <xf numFmtId="0" fontId="5" fillId="7" borderId="37" xfId="1" applyFont="1" applyFill="1" applyBorder="1" applyAlignment="1">
      <alignment horizontal="left" vertical="center" wrapText="1"/>
    </xf>
    <xf numFmtId="0" fontId="1" fillId="7" borderId="13" xfId="1" applyFill="1" applyBorder="1" applyAlignment="1">
      <alignment horizontal="right" vertical="center" wrapText="1"/>
    </xf>
    <xf numFmtId="0" fontId="1" fillId="7" borderId="32" xfId="1" applyFill="1" applyBorder="1" applyAlignment="1">
      <alignment horizontal="right" vertical="center" wrapText="1"/>
    </xf>
    <xf numFmtId="0" fontId="1" fillId="7" borderId="37" xfId="1" applyFill="1" applyBorder="1" applyAlignment="1">
      <alignment horizontal="right" vertical="center" wrapText="1"/>
    </xf>
    <xf numFmtId="0" fontId="5" fillId="7" borderId="25" xfId="1" applyFont="1" applyFill="1" applyBorder="1" applyAlignment="1">
      <alignment horizontal="center" vertical="center" wrapText="1"/>
    </xf>
    <xf numFmtId="0" fontId="5" fillId="7" borderId="6" xfId="1" applyFont="1" applyFill="1" applyBorder="1" applyAlignment="1">
      <alignment horizontal="left" vertical="center" wrapText="1" indent="1"/>
    </xf>
    <xf numFmtId="0" fontId="5" fillId="7" borderId="20" xfId="1" applyFont="1" applyFill="1" applyBorder="1" applyAlignment="1">
      <alignment horizontal="left" wrapText="1"/>
    </xf>
    <xf numFmtId="0" fontId="1" fillId="7" borderId="20" xfId="1" applyFill="1" applyBorder="1"/>
    <xf numFmtId="0" fontId="7" fillId="7" borderId="37" xfId="1" applyFont="1" applyFill="1" applyBorder="1" applyAlignment="1">
      <alignment horizontal="right" vertical="center" wrapText="1"/>
    </xf>
    <xf numFmtId="0" fontId="1" fillId="8" borderId="0" xfId="1" applyFill="1" applyAlignment="1">
      <alignment horizontal="center" wrapText="1"/>
    </xf>
    <xf numFmtId="0" fontId="5" fillId="3" borderId="40" xfId="1" applyFont="1" applyFill="1" applyBorder="1" applyAlignment="1">
      <alignment horizontal="left"/>
    </xf>
    <xf numFmtId="0" fontId="5" fillId="3" borderId="41" xfId="1" applyFont="1" applyFill="1" applyBorder="1" applyAlignment="1">
      <alignment horizontal="center"/>
    </xf>
    <xf numFmtId="0" fontId="1" fillId="7" borderId="42" xfId="1" applyFill="1" applyBorder="1" applyAlignment="1">
      <alignment horizontal="left" wrapText="1"/>
    </xf>
    <xf numFmtId="0" fontId="1" fillId="7" borderId="44" xfId="1" applyFill="1" applyBorder="1" applyAlignment="1">
      <alignment horizontal="left" wrapText="1"/>
    </xf>
    <xf numFmtId="0" fontId="5" fillId="3" borderId="48" xfId="1" applyFont="1" applyFill="1" applyBorder="1" applyAlignment="1">
      <alignment horizontal="center"/>
    </xf>
    <xf numFmtId="0" fontId="0" fillId="7" borderId="0" xfId="0" applyFill="1" applyProtection="1">
      <protection locked="0"/>
    </xf>
    <xf numFmtId="0" fontId="5" fillId="3" borderId="40" xfId="1" applyFont="1" applyFill="1" applyBorder="1" applyAlignment="1">
      <alignment horizontal="left" indent="1"/>
    </xf>
    <xf numFmtId="0" fontId="5" fillId="3" borderId="48" xfId="1" applyFont="1" applyFill="1" applyBorder="1" applyAlignment="1">
      <alignment horizontal="left"/>
    </xf>
    <xf numFmtId="0" fontId="5" fillId="7" borderId="44" xfId="1" applyFont="1" applyFill="1" applyBorder="1" applyAlignment="1">
      <alignment horizontal="left"/>
    </xf>
    <xf numFmtId="0" fontId="5" fillId="7" borderId="45" xfId="1" applyFont="1" applyFill="1" applyBorder="1" applyAlignment="1">
      <alignment horizontal="center"/>
    </xf>
    <xf numFmtId="0" fontId="1" fillId="7" borderId="44" xfId="1" applyFill="1" applyBorder="1" applyAlignment="1">
      <alignment horizontal="left" wrapText="1" indent="1"/>
    </xf>
    <xf numFmtId="0" fontId="1" fillId="7" borderId="45" xfId="1" applyFill="1" applyBorder="1" applyAlignment="1">
      <alignment horizontal="center" wrapText="1"/>
    </xf>
    <xf numFmtId="0" fontId="1" fillId="7" borderId="44" xfId="1" applyFill="1" applyBorder="1" applyAlignment="1">
      <alignment horizontal="left" indent="1"/>
    </xf>
    <xf numFmtId="0" fontId="1" fillId="7" borderId="46" xfId="1" applyFill="1" applyBorder="1" applyAlignment="1">
      <alignment horizontal="left" wrapText="1" indent="1"/>
    </xf>
    <xf numFmtId="0" fontId="1" fillId="7" borderId="49" xfId="1" applyFill="1" applyBorder="1" applyAlignment="1">
      <alignment horizontal="center" wrapText="1"/>
    </xf>
    <xf numFmtId="0" fontId="1" fillId="7" borderId="47" xfId="1" applyFill="1" applyBorder="1" applyAlignment="1">
      <alignment horizontal="center" wrapText="1"/>
    </xf>
    <xf numFmtId="0" fontId="0" fillId="0" borderId="0" xfId="0" applyAlignment="1">
      <alignment horizontal="left"/>
    </xf>
    <xf numFmtId="0" fontId="1" fillId="8" borderId="50" xfId="1" applyFill="1" applyBorder="1" applyAlignment="1">
      <alignment horizontal="center" wrapText="1"/>
    </xf>
    <xf numFmtId="0" fontId="1" fillId="8" borderId="51" xfId="1" applyFill="1" applyBorder="1" applyAlignment="1">
      <alignment horizontal="center" wrapText="1"/>
    </xf>
    <xf numFmtId="0" fontId="1" fillId="8" borderId="52" xfId="1" applyFill="1" applyBorder="1" applyAlignment="1">
      <alignment horizontal="center" wrapText="1"/>
    </xf>
    <xf numFmtId="0" fontId="55" fillId="12" borderId="53" xfId="1" applyFont="1" applyFill="1" applyBorder="1" applyAlignment="1">
      <alignment horizontal="center"/>
    </xf>
    <xf numFmtId="0" fontId="55" fillId="12" borderId="43" xfId="1" applyFont="1" applyFill="1" applyBorder="1" applyAlignment="1">
      <alignment horizontal="center"/>
    </xf>
    <xf numFmtId="0" fontId="1" fillId="8" borderId="56" xfId="1" applyFill="1" applyBorder="1" applyAlignment="1">
      <alignment horizontal="left" vertical="top" wrapText="1"/>
    </xf>
    <xf numFmtId="0" fontId="1" fillId="8" borderId="44" xfId="1" applyFill="1" applyBorder="1" applyAlignment="1">
      <alignment vertical="center" wrapText="1"/>
    </xf>
    <xf numFmtId="0" fontId="1" fillId="8" borderId="56" xfId="1" applyFill="1" applyBorder="1" applyAlignment="1">
      <alignment vertical="center" wrapText="1"/>
    </xf>
    <xf numFmtId="0" fontId="1" fillId="8" borderId="44" xfId="1" applyFill="1" applyBorder="1" applyAlignment="1">
      <alignment vertical="top" wrapText="1"/>
    </xf>
    <xf numFmtId="0" fontId="1" fillId="8" borderId="46" xfId="1" applyFill="1" applyBorder="1" applyAlignment="1">
      <alignment vertical="top" wrapText="1"/>
    </xf>
    <xf numFmtId="0" fontId="1" fillId="8" borderId="49" xfId="1" applyFill="1" applyBorder="1" applyAlignment="1">
      <alignment horizontal="center" wrapText="1"/>
    </xf>
    <xf numFmtId="0" fontId="1" fillId="8" borderId="54" xfId="1" applyFill="1" applyBorder="1" applyAlignment="1">
      <alignment horizontal="left" vertical="top" wrapText="1" indent="1"/>
    </xf>
    <xf numFmtId="0" fontId="1" fillId="8" borderId="58" xfId="1" applyFill="1" applyBorder="1" applyAlignment="1">
      <alignment horizontal="left" vertical="top" wrapText="1" indent="1"/>
    </xf>
    <xf numFmtId="0" fontId="1" fillId="8" borderId="54" xfId="1" applyFill="1" applyBorder="1" applyAlignment="1">
      <alignment horizontal="left" vertical="center" wrapText="1" indent="1"/>
    </xf>
    <xf numFmtId="0" fontId="55" fillId="12" borderId="42" xfId="1" applyFont="1" applyFill="1" applyBorder="1" applyAlignment="1">
      <alignment horizontal="left" indent="1"/>
    </xf>
    <xf numFmtId="0" fontId="20" fillId="0" borderId="0" xfId="1" applyFont="1" applyAlignment="1">
      <alignment horizontal="center" wrapText="1"/>
    </xf>
    <xf numFmtId="0" fontId="1" fillId="7" borderId="46" xfId="1" applyFill="1" applyBorder="1" applyAlignment="1">
      <alignment horizontal="left" wrapText="1"/>
    </xf>
    <xf numFmtId="0" fontId="59" fillId="0" borderId="0" xfId="0" applyFont="1" applyAlignment="1">
      <alignment horizontal="right" indent="1"/>
    </xf>
    <xf numFmtId="0" fontId="54" fillId="0" borderId="0" xfId="0" applyFont="1" applyAlignment="1">
      <alignment horizontal="right" indent="1"/>
    </xf>
    <xf numFmtId="0" fontId="60" fillId="0" borderId="0" xfId="0" applyFont="1" applyAlignment="1">
      <alignment horizontal="right" indent="1"/>
    </xf>
    <xf numFmtId="0" fontId="1" fillId="0" borderId="0" xfId="1" applyAlignment="1">
      <alignment vertical="top" wrapText="1"/>
    </xf>
    <xf numFmtId="0" fontId="6" fillId="13" borderId="17" xfId="0" applyFont="1" applyFill="1" applyBorder="1" applyAlignment="1">
      <alignment horizontal="center"/>
    </xf>
    <xf numFmtId="0" fontId="0" fillId="7" borderId="0" xfId="0" applyFill="1" applyAlignment="1">
      <alignment horizontal="center" vertical="center"/>
    </xf>
    <xf numFmtId="0" fontId="17" fillId="0" borderId="18" xfId="0" applyFont="1" applyBorder="1" applyAlignment="1" applyProtection="1">
      <alignment horizontal="center"/>
      <protection locked="0"/>
    </xf>
    <xf numFmtId="49" fontId="1" fillId="11" borderId="18" xfId="1" applyNumberFormat="1" applyFill="1" applyBorder="1" applyAlignment="1" applyProtection="1">
      <alignment horizontal="center" wrapText="1"/>
      <protection locked="0"/>
    </xf>
    <xf numFmtId="0" fontId="1" fillId="11" borderId="18" xfId="1" applyFill="1" applyBorder="1" applyAlignment="1" applyProtection="1">
      <alignment horizontal="center" wrapText="1"/>
      <protection locked="0"/>
    </xf>
    <xf numFmtId="49" fontId="1" fillId="0" borderId="0" xfId="1" applyNumberFormat="1" applyAlignment="1" applyProtection="1">
      <alignment horizontal="center" wrapText="1"/>
      <protection locked="0"/>
    </xf>
    <xf numFmtId="49" fontId="5" fillId="7" borderId="0" xfId="1" applyNumberFormat="1" applyFont="1" applyFill="1" applyAlignment="1" applyProtection="1">
      <alignment horizontal="center" wrapText="1"/>
      <protection locked="0"/>
    </xf>
    <xf numFmtId="49" fontId="1" fillId="7" borderId="0" xfId="1" applyNumberFormat="1" applyFill="1" applyAlignment="1" applyProtection="1">
      <alignment horizontal="center" wrapText="1"/>
      <protection locked="0"/>
    </xf>
    <xf numFmtId="49" fontId="1" fillId="7" borderId="25" xfId="1" applyNumberFormat="1" applyFill="1" applyBorder="1" applyAlignment="1" applyProtection="1">
      <alignment horizontal="center" wrapText="1"/>
      <protection locked="0"/>
    </xf>
    <xf numFmtId="0" fontId="36" fillId="7" borderId="0" xfId="0" applyFont="1" applyFill="1" applyAlignment="1" applyProtection="1">
      <alignment horizontal="center"/>
      <protection locked="0"/>
    </xf>
    <xf numFmtId="164" fontId="1" fillId="8" borderId="0" xfId="1" applyNumberFormat="1" applyFill="1" applyAlignment="1" applyProtection="1">
      <alignment horizontal="center" wrapText="1"/>
      <protection locked="0"/>
    </xf>
    <xf numFmtId="164" fontId="1" fillId="8" borderId="18" xfId="1" applyNumberFormat="1" applyFill="1" applyBorder="1" applyAlignment="1" applyProtection="1">
      <alignment horizontal="center" wrapText="1"/>
      <protection locked="0"/>
    </xf>
    <xf numFmtId="49" fontId="1" fillId="0" borderId="0" xfId="1" applyNumberFormat="1" applyAlignment="1" applyProtection="1">
      <alignment horizontal="center" vertical="center" wrapText="1"/>
      <protection locked="0"/>
    </xf>
    <xf numFmtId="49" fontId="1" fillId="0" borderId="25" xfId="1" applyNumberFormat="1" applyBorder="1" applyAlignment="1" applyProtection="1">
      <alignment horizontal="center" wrapText="1"/>
      <protection locked="0"/>
    </xf>
    <xf numFmtId="0" fontId="13" fillId="7" borderId="0" xfId="0" applyFont="1" applyFill="1" applyAlignment="1" applyProtection="1">
      <alignment horizontal="center"/>
      <protection locked="0"/>
    </xf>
    <xf numFmtId="164"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protection locked="0"/>
    </xf>
    <xf numFmtId="2" fontId="13" fillId="0" borderId="0" xfId="0" applyNumberFormat="1" applyFont="1" applyAlignment="1" applyProtection="1">
      <alignment horizontal="center"/>
      <protection locked="0"/>
    </xf>
    <xf numFmtId="9" fontId="13" fillId="0" borderId="0" xfId="10" applyFont="1" applyAlignment="1" applyProtection="1">
      <alignment horizontal="center"/>
      <protection locked="0"/>
    </xf>
    <xf numFmtId="1" fontId="13" fillId="7" borderId="0" xfId="0" applyNumberFormat="1" applyFont="1" applyFill="1" applyAlignment="1" applyProtection="1">
      <alignment horizontal="center"/>
      <protection locked="0"/>
    </xf>
    <xf numFmtId="2" fontId="13" fillId="11" borderId="0" xfId="0" applyNumberFormat="1" applyFont="1" applyFill="1" applyAlignment="1" applyProtection="1">
      <alignment horizontal="center"/>
      <protection locked="0"/>
    </xf>
    <xf numFmtId="2" fontId="5" fillId="7" borderId="0" xfId="0" applyNumberFormat="1" applyFont="1" applyFill="1" applyAlignment="1" applyProtection="1">
      <alignment horizontal="center"/>
      <protection locked="0"/>
    </xf>
    <xf numFmtId="0" fontId="0" fillId="7" borderId="0" xfId="0" applyFill="1" applyAlignment="1" applyProtection="1">
      <alignment horizontal="center"/>
      <protection locked="0"/>
    </xf>
    <xf numFmtId="0" fontId="0" fillId="8" borderId="13"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18" xfId="0" applyFill="1" applyBorder="1" applyAlignment="1" applyProtection="1">
      <alignment horizontal="center" vertical="center"/>
      <protection locked="0"/>
    </xf>
    <xf numFmtId="164" fontId="31" fillId="8" borderId="13" xfId="0" applyNumberFormat="1" applyFont="1" applyFill="1" applyBorder="1" applyAlignment="1">
      <alignment horizontal="center" vertical="center"/>
    </xf>
    <xf numFmtId="164" fontId="31" fillId="8" borderId="0" xfId="0" applyNumberFormat="1" applyFont="1" applyFill="1" applyAlignment="1">
      <alignment horizontal="center" vertical="center"/>
    </xf>
    <xf numFmtId="164" fontId="31" fillId="8" borderId="18" xfId="0" applyNumberFormat="1" applyFont="1" applyFill="1" applyBorder="1" applyAlignment="1">
      <alignment horizontal="center" vertical="center"/>
    </xf>
    <xf numFmtId="169" fontId="35" fillId="8" borderId="13" xfId="0" applyNumberFormat="1" applyFont="1" applyFill="1" applyBorder="1" applyAlignment="1">
      <alignment horizontal="center" vertical="center"/>
    </xf>
    <xf numFmtId="169" fontId="35" fillId="8" borderId="0" xfId="0" applyNumberFormat="1" applyFont="1" applyFill="1" applyAlignment="1">
      <alignment horizontal="center" vertical="center"/>
    </xf>
    <xf numFmtId="169" fontId="0" fillId="8" borderId="0" xfId="0" applyNumberFormat="1" applyFill="1" applyAlignment="1">
      <alignment horizontal="center" vertical="center"/>
    </xf>
    <xf numFmtId="169" fontId="35" fillId="8" borderId="12" xfId="0" applyNumberFormat="1" applyFont="1" applyFill="1" applyBorder="1" applyAlignment="1">
      <alignment horizontal="center" vertical="center"/>
    </xf>
    <xf numFmtId="169" fontId="0" fillId="8" borderId="25" xfId="0" applyNumberFormat="1" applyFill="1" applyBorder="1" applyAlignment="1">
      <alignment horizontal="center" vertical="center"/>
    </xf>
    <xf numFmtId="164" fontId="31" fillId="8" borderId="25" xfId="0" applyNumberFormat="1" applyFont="1" applyFill="1" applyBorder="1" applyAlignment="1">
      <alignment horizontal="center" vertical="center"/>
    </xf>
    <xf numFmtId="164" fontId="31" fillId="8" borderId="17" xfId="0" applyNumberFormat="1" applyFont="1" applyFill="1" applyBorder="1" applyAlignment="1">
      <alignment horizontal="center" vertical="center"/>
    </xf>
    <xf numFmtId="164" fontId="1" fillId="0" borderId="0" xfId="1" applyNumberFormat="1" applyAlignment="1" applyProtection="1">
      <alignment horizontal="center" wrapText="1"/>
      <protection locked="0"/>
    </xf>
    <xf numFmtId="164" fontId="1" fillId="0" borderId="18" xfId="1" applyNumberFormat="1" applyBorder="1" applyAlignment="1" applyProtection="1">
      <alignment horizontal="center" wrapText="1"/>
      <protection locked="0"/>
    </xf>
    <xf numFmtId="164" fontId="1" fillId="0" borderId="25" xfId="1" applyNumberFormat="1" applyBorder="1" applyAlignment="1" applyProtection="1">
      <alignment horizontal="center" wrapText="1"/>
      <protection locked="0"/>
    </xf>
    <xf numFmtId="164" fontId="1" fillId="0" borderId="17" xfId="1" applyNumberFormat="1" applyBorder="1" applyAlignment="1" applyProtection="1">
      <alignment horizontal="center" wrapText="1"/>
      <protection locked="0"/>
    </xf>
    <xf numFmtId="164" fontId="2" fillId="8" borderId="0" xfId="1" applyNumberFormat="1" applyFont="1" applyFill="1" applyAlignment="1" applyProtection="1">
      <alignment horizontal="center" wrapText="1"/>
      <protection locked="0"/>
    </xf>
    <xf numFmtId="164" fontId="2" fillId="8" borderId="18" xfId="1" applyNumberFormat="1" applyFont="1" applyFill="1" applyBorder="1" applyAlignment="1" applyProtection="1">
      <alignment horizontal="center" wrapText="1"/>
      <protection locked="0"/>
    </xf>
    <xf numFmtId="170" fontId="5" fillId="7" borderId="0" xfId="11" applyNumberFormat="1" applyFont="1" applyFill="1" applyAlignment="1">
      <alignment horizontal="left" wrapText="1"/>
    </xf>
    <xf numFmtId="170" fontId="5" fillId="7" borderId="0" xfId="11" applyNumberFormat="1" applyFont="1" applyFill="1" applyAlignment="1">
      <alignment horizontal="right" wrapText="1"/>
    </xf>
    <xf numFmtId="0" fontId="5" fillId="7" borderId="0" xfId="11" applyNumberFormat="1" applyFont="1" applyFill="1" applyAlignment="1">
      <alignment horizontal="right" wrapText="1"/>
    </xf>
    <xf numFmtId="43" fontId="5" fillId="7" borderId="0" xfId="11" applyFont="1" applyFill="1" applyAlignment="1">
      <alignment horizontal="right" wrapText="1"/>
    </xf>
    <xf numFmtId="1" fontId="6" fillId="13" borderId="17" xfId="0" applyNumberFormat="1" applyFont="1" applyFill="1" applyBorder="1" applyAlignment="1">
      <alignment horizontal="center" vertical="center"/>
    </xf>
    <xf numFmtId="0" fontId="9" fillId="5" borderId="25" xfId="1" applyFont="1" applyFill="1" applyBorder="1" applyAlignment="1" applyProtection="1">
      <alignment horizontal="left" wrapText="1"/>
      <protection locked="0"/>
    </xf>
    <xf numFmtId="3" fontId="0" fillId="7" borderId="0" xfId="0" applyNumberFormat="1" applyFill="1" applyAlignment="1">
      <alignment horizontal="center" vertical="center"/>
    </xf>
    <xf numFmtId="0" fontId="0" fillId="7" borderId="0" xfId="0" applyFill="1" applyAlignment="1">
      <alignment horizontal="left"/>
    </xf>
    <xf numFmtId="170" fontId="0" fillId="7" borderId="0" xfId="11" applyNumberFormat="1" applyFont="1" applyFill="1" applyAlignment="1">
      <alignment horizontal="center" vertical="center"/>
    </xf>
    <xf numFmtId="10" fontId="0" fillId="7" borderId="0" xfId="10" applyNumberFormat="1" applyFont="1" applyFill="1" applyAlignment="1">
      <alignment horizontal="center" vertical="center"/>
    </xf>
    <xf numFmtId="0" fontId="6" fillId="7" borderId="0" xfId="0" applyFont="1" applyFill="1" applyAlignment="1">
      <alignment horizontal="center" vertical="top" wrapText="1"/>
    </xf>
    <xf numFmtId="0" fontId="0" fillId="7" borderId="0" xfId="0" applyFill="1" applyAlignment="1">
      <alignment horizontal="center" vertical="top"/>
    </xf>
    <xf numFmtId="0" fontId="6" fillId="7" borderId="0" xfId="0" applyFont="1" applyFill="1" applyAlignment="1">
      <alignment horizontal="center" vertical="top"/>
    </xf>
    <xf numFmtId="0" fontId="6" fillId="18" borderId="12" xfId="0" applyFont="1" applyFill="1" applyBorder="1" applyAlignment="1">
      <alignment horizontal="right"/>
    </xf>
    <xf numFmtId="164" fontId="6" fillId="18" borderId="17" xfId="0" applyNumberFormat="1" applyFont="1" applyFill="1" applyBorder="1" applyAlignment="1">
      <alignment horizontal="center" vertical="center"/>
    </xf>
    <xf numFmtId="1" fontId="0" fillId="7" borderId="13" xfId="0" applyNumberFormat="1" applyFill="1" applyBorder="1"/>
    <xf numFmtId="1" fontId="0" fillId="7" borderId="13" xfId="0" applyNumberFormat="1" applyFill="1" applyBorder="1" applyAlignment="1">
      <alignment horizontal="right"/>
    </xf>
    <xf numFmtId="1" fontId="6" fillId="7" borderId="13" xfId="0" applyNumberFormat="1" applyFont="1" applyFill="1" applyBorder="1"/>
    <xf numFmtId="1" fontId="6" fillId="7" borderId="13" xfId="0" applyNumberFormat="1" applyFont="1" applyFill="1" applyBorder="1" applyAlignment="1">
      <alignment horizontal="right"/>
    </xf>
    <xf numFmtId="1" fontId="10" fillId="7" borderId="13" xfId="0" applyNumberFormat="1" applyFont="1" applyFill="1" applyBorder="1" applyAlignment="1">
      <alignment horizontal="right"/>
    </xf>
    <xf numFmtId="0" fontId="1" fillId="7" borderId="13" xfId="1" applyFill="1" applyBorder="1" applyAlignment="1">
      <alignment horizontal="left"/>
    </xf>
    <xf numFmtId="0" fontId="0" fillId="7" borderId="32" xfId="0" applyFill="1" applyBorder="1"/>
    <xf numFmtId="0" fontId="6" fillId="7" borderId="37" xfId="0" applyFont="1" applyFill="1" applyBorder="1"/>
    <xf numFmtId="0" fontId="0" fillId="7" borderId="13" xfId="0" applyFill="1" applyBorder="1" applyAlignment="1">
      <alignment wrapText="1"/>
    </xf>
    <xf numFmtId="0" fontId="6" fillId="7" borderId="13" xfId="0" applyFont="1" applyFill="1" applyBorder="1" applyAlignment="1">
      <alignment horizontal="right"/>
    </xf>
    <xf numFmtId="0" fontId="0" fillId="7" borderId="12" xfId="0" applyFill="1" applyBorder="1"/>
    <xf numFmtId="0" fontId="0" fillId="7" borderId="25" xfId="0" applyFill="1" applyBorder="1"/>
    <xf numFmtId="1" fontId="6" fillId="7" borderId="0" xfId="0" applyNumberFormat="1" applyFont="1" applyFill="1"/>
    <xf numFmtId="9" fontId="0" fillId="7" borderId="0" xfId="10" applyFont="1" applyFill="1" applyAlignment="1">
      <alignment horizontal="center" wrapText="1"/>
    </xf>
    <xf numFmtId="1" fontId="6" fillId="7" borderId="0" xfId="0" applyNumberFormat="1" applyFont="1" applyFill="1" applyAlignment="1">
      <alignment horizontal="center"/>
    </xf>
    <xf numFmtId="164" fontId="6" fillId="13" borderId="12" xfId="0" applyNumberFormat="1" applyFont="1" applyFill="1" applyBorder="1" applyAlignment="1">
      <alignment horizontal="right" vertical="center"/>
    </xf>
    <xf numFmtId="164" fontId="6" fillId="13" borderId="25" xfId="0" applyNumberFormat="1" applyFont="1" applyFill="1" applyBorder="1" applyAlignment="1">
      <alignment horizontal="right" vertical="center"/>
    </xf>
    <xf numFmtId="2" fontId="1" fillId="7" borderId="0" xfId="1" applyNumberFormat="1" applyFill="1" applyAlignment="1">
      <alignment horizontal="center" vertical="center"/>
    </xf>
    <xf numFmtId="164" fontId="48" fillId="13" borderId="17" xfId="0" applyNumberFormat="1" applyFont="1" applyFill="1" applyBorder="1" applyAlignment="1">
      <alignment horizontal="center"/>
    </xf>
    <xf numFmtId="0" fontId="1" fillId="7" borderId="13" xfId="1" applyFill="1" applyBorder="1" applyAlignment="1">
      <alignment wrapText="1"/>
    </xf>
    <xf numFmtId="0" fontId="1" fillId="11" borderId="3" xfId="1" applyFill="1" applyBorder="1" applyAlignment="1" applyProtection="1">
      <alignment horizontal="center" vertical="center" wrapText="1"/>
      <protection locked="0"/>
    </xf>
    <xf numFmtId="0" fontId="1" fillId="11" borderId="25" xfId="1" applyFill="1" applyBorder="1" applyAlignment="1" applyProtection="1">
      <alignment horizontal="center" vertical="center" wrapText="1"/>
      <protection locked="0"/>
    </xf>
    <xf numFmtId="0" fontId="5" fillId="17" borderId="36" xfId="1" applyFont="1" applyFill="1" applyBorder="1" applyAlignment="1">
      <alignment horizontal="center" vertical="center"/>
    </xf>
    <xf numFmtId="0" fontId="0" fillId="7" borderId="13" xfId="0" applyFill="1" applyBorder="1" applyAlignment="1">
      <alignment vertical="center" wrapText="1"/>
    </xf>
    <xf numFmtId="0" fontId="0" fillId="7" borderId="13" xfId="0" applyFill="1" applyBorder="1" applyAlignment="1">
      <alignment vertical="center"/>
    </xf>
    <xf numFmtId="3" fontId="0" fillId="7" borderId="0" xfId="11" applyNumberFormat="1" applyFont="1" applyFill="1" applyAlignment="1">
      <alignment horizontal="center"/>
    </xf>
    <xf numFmtId="3" fontId="0" fillId="7" borderId="21" xfId="11" applyNumberFormat="1" applyFont="1" applyFill="1" applyBorder="1" applyAlignment="1">
      <alignment horizontal="center"/>
    </xf>
    <xf numFmtId="3" fontId="1" fillId="8" borderId="13" xfId="1" applyNumberFormat="1" applyFill="1" applyBorder="1" applyAlignment="1">
      <alignment horizontal="center" wrapText="1"/>
    </xf>
    <xf numFmtId="3" fontId="1" fillId="8" borderId="0" xfId="1" applyNumberFormat="1" applyFill="1" applyAlignment="1">
      <alignment horizontal="center" wrapText="1"/>
    </xf>
    <xf numFmtId="3" fontId="35" fillId="8" borderId="13" xfId="0" applyNumberFormat="1" applyFont="1" applyFill="1" applyBorder="1" applyAlignment="1">
      <alignment horizontal="center"/>
    </xf>
    <xf numFmtId="3" fontId="35" fillId="8" borderId="0" xfId="0" applyNumberFormat="1" applyFont="1" applyFill="1" applyAlignment="1">
      <alignment horizontal="center"/>
    </xf>
    <xf numFmtId="3" fontId="1" fillId="0" borderId="13" xfId="1" applyNumberFormat="1" applyBorder="1" applyAlignment="1" applyProtection="1">
      <alignment horizontal="center" wrapText="1"/>
      <protection locked="0"/>
    </xf>
    <xf numFmtId="3" fontId="1" fillId="8" borderId="13" xfId="1" applyNumberFormat="1" applyFill="1" applyBorder="1" applyAlignment="1">
      <alignment horizontal="center"/>
    </xf>
    <xf numFmtId="3" fontId="1" fillId="8" borderId="13" xfId="1" applyNumberFormat="1" applyFill="1" applyBorder="1" applyAlignment="1">
      <alignment horizontal="center" vertical="center"/>
    </xf>
    <xf numFmtId="3" fontId="1" fillId="8" borderId="0" xfId="1" applyNumberFormat="1" applyFill="1" applyAlignment="1">
      <alignment horizontal="center" vertical="center"/>
    </xf>
    <xf numFmtId="3" fontId="1" fillId="8" borderId="12" xfId="1" applyNumberFormat="1" applyFill="1" applyBorder="1" applyAlignment="1">
      <alignment horizontal="center"/>
    </xf>
    <xf numFmtId="3" fontId="1" fillId="8" borderId="25" xfId="1" applyNumberFormat="1" applyFill="1" applyBorder="1" applyAlignment="1">
      <alignment horizontal="center"/>
    </xf>
    <xf numFmtId="3" fontId="13" fillId="8" borderId="13" xfId="0" applyNumberFormat="1" applyFont="1" applyFill="1" applyBorder="1" applyAlignment="1">
      <alignment horizontal="center"/>
    </xf>
    <xf numFmtId="3" fontId="13" fillId="8" borderId="0" xfId="0" applyNumberFormat="1" applyFont="1" applyFill="1" applyAlignment="1">
      <alignment horizontal="center"/>
    </xf>
    <xf numFmtId="3" fontId="13" fillId="8" borderId="13" xfId="11" applyNumberFormat="1" applyFont="1" applyFill="1" applyBorder="1" applyAlignment="1">
      <alignment horizontal="center"/>
    </xf>
    <xf numFmtId="3" fontId="1" fillId="8" borderId="12" xfId="1" applyNumberFormat="1" applyFill="1" applyBorder="1" applyAlignment="1">
      <alignment horizontal="center" wrapText="1"/>
    </xf>
    <xf numFmtId="3" fontId="1" fillId="8" borderId="25" xfId="1" applyNumberFormat="1" applyFill="1" applyBorder="1" applyAlignment="1">
      <alignment horizontal="center" wrapText="1"/>
    </xf>
    <xf numFmtId="3" fontId="0" fillId="0" borderId="13"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0" fontId="0" fillId="19" borderId="1" xfId="0" applyFill="1" applyBorder="1" applyAlignment="1">
      <alignment horizontal="center"/>
    </xf>
    <xf numFmtId="0" fontId="6" fillId="19" borderId="24" xfId="0" applyFont="1" applyFill="1" applyBorder="1" applyAlignment="1">
      <alignment horizontal="center" vertical="center"/>
    </xf>
    <xf numFmtId="0" fontId="0" fillId="19" borderId="18" xfId="0" applyFill="1" applyBorder="1" applyAlignment="1">
      <alignment horizontal="center" vertical="center"/>
    </xf>
    <xf numFmtId="0" fontId="6" fillId="19" borderId="38" xfId="0" applyFont="1" applyFill="1" applyBorder="1" applyAlignment="1">
      <alignment horizontal="center" vertical="center"/>
    </xf>
    <xf numFmtId="0" fontId="0" fillId="19" borderId="33" xfId="0" applyFill="1" applyBorder="1" applyAlignment="1">
      <alignment horizontal="center" vertical="center"/>
    </xf>
    <xf numFmtId="0" fontId="0" fillId="19" borderId="38" xfId="0" applyFill="1" applyBorder="1" applyAlignment="1">
      <alignment horizontal="center" vertical="center"/>
    </xf>
    <xf numFmtId="0" fontId="6" fillId="19" borderId="18" xfId="0" applyFont="1" applyFill="1" applyBorder="1" applyAlignment="1">
      <alignment horizontal="center" vertical="center"/>
    </xf>
    <xf numFmtId="0" fontId="6" fillId="20" borderId="24" xfId="0" applyFont="1" applyFill="1" applyBorder="1" applyAlignment="1">
      <alignment horizontal="center" vertical="center"/>
    </xf>
    <xf numFmtId="0" fontId="6" fillId="20" borderId="33" xfId="0" applyFont="1" applyFill="1" applyBorder="1" applyAlignment="1">
      <alignment horizontal="center" vertical="center"/>
    </xf>
    <xf numFmtId="0" fontId="6" fillId="20" borderId="17" xfId="0" applyFont="1" applyFill="1" applyBorder="1" applyAlignment="1">
      <alignment horizontal="center" vertical="center"/>
    </xf>
    <xf numFmtId="1" fontId="6" fillId="19" borderId="18" xfId="0" applyNumberFormat="1" applyFont="1" applyFill="1" applyBorder="1" applyAlignment="1">
      <alignment horizontal="center" vertical="center"/>
    </xf>
    <xf numFmtId="1" fontId="0" fillId="19" borderId="18" xfId="0" applyNumberFormat="1" applyFill="1" applyBorder="1" applyAlignment="1">
      <alignment horizontal="center" vertical="center"/>
    </xf>
    <xf numFmtId="1" fontId="6" fillId="19" borderId="18" xfId="0" applyNumberFormat="1" applyFont="1" applyFill="1" applyBorder="1" applyAlignment="1">
      <alignment horizontal="center"/>
    </xf>
    <xf numFmtId="1" fontId="6" fillId="19" borderId="38" xfId="0" applyNumberFormat="1" applyFont="1" applyFill="1" applyBorder="1" applyAlignment="1">
      <alignment horizontal="center" vertical="center"/>
    </xf>
    <xf numFmtId="0" fontId="0" fillId="19" borderId="18" xfId="0" applyFill="1" applyBorder="1" applyAlignment="1">
      <alignment horizontal="center"/>
    </xf>
    <xf numFmtId="1" fontId="0" fillId="19" borderId="24" xfId="0" applyNumberFormat="1" applyFill="1" applyBorder="1" applyAlignment="1">
      <alignment horizontal="center"/>
    </xf>
    <xf numFmtId="0" fontId="0" fillId="19" borderId="24" xfId="0" applyFill="1" applyBorder="1" applyAlignment="1">
      <alignment horizontal="right"/>
    </xf>
    <xf numFmtId="1" fontId="0" fillId="19" borderId="17" xfId="0" applyNumberFormat="1" applyFill="1" applyBorder="1" applyAlignment="1">
      <alignment horizontal="center" vertical="center"/>
    </xf>
    <xf numFmtId="1" fontId="6" fillId="20" borderId="18" xfId="0" applyNumberFormat="1" applyFont="1" applyFill="1" applyBorder="1" applyAlignment="1">
      <alignment horizontal="center" vertical="center"/>
    </xf>
    <xf numFmtId="1" fontId="6" fillId="20" borderId="33" xfId="0" applyNumberFormat="1" applyFont="1" applyFill="1" applyBorder="1" applyAlignment="1">
      <alignment horizontal="center" vertical="center"/>
    </xf>
    <xf numFmtId="1" fontId="0" fillId="19" borderId="18" xfId="0" applyNumberFormat="1" applyFill="1" applyBorder="1" applyAlignment="1">
      <alignment horizontal="center"/>
    </xf>
    <xf numFmtId="0" fontId="6" fillId="19" borderId="38" xfId="0" applyFont="1" applyFill="1" applyBorder="1" applyAlignment="1">
      <alignment horizontal="center" vertical="center" wrapText="1"/>
    </xf>
    <xf numFmtId="1" fontId="6" fillId="20" borderId="17" xfId="0" applyNumberFormat="1" applyFont="1" applyFill="1" applyBorder="1" applyAlignment="1">
      <alignment horizontal="center" vertical="center"/>
    </xf>
    <xf numFmtId="0" fontId="0" fillId="7" borderId="3" xfId="0" applyFill="1" applyBorder="1" applyAlignment="1">
      <alignment horizontal="center" vertical="center"/>
    </xf>
    <xf numFmtId="0" fontId="6" fillId="20" borderId="24" xfId="0" applyFont="1" applyFill="1" applyBorder="1" applyAlignment="1">
      <alignment horizontal="center"/>
    </xf>
    <xf numFmtId="1" fontId="6" fillId="20" borderId="33" xfId="0" applyNumberFormat="1" applyFont="1" applyFill="1" applyBorder="1" applyAlignment="1">
      <alignment horizontal="center"/>
    </xf>
    <xf numFmtId="0" fontId="6" fillId="20" borderId="33" xfId="0" applyFont="1" applyFill="1" applyBorder="1" applyAlignment="1">
      <alignment horizontal="center"/>
    </xf>
    <xf numFmtId="0" fontId="0" fillId="20" borderId="18" xfId="0" applyFill="1" applyBorder="1" applyAlignment="1">
      <alignment horizontal="center" vertical="center"/>
    </xf>
    <xf numFmtId="0" fontId="6" fillId="20" borderId="18" xfId="0" applyFont="1" applyFill="1" applyBorder="1" applyAlignment="1">
      <alignment horizontal="center" vertical="center"/>
    </xf>
    <xf numFmtId="1" fontId="0" fillId="20" borderId="17" xfId="0" applyNumberFormat="1" applyFill="1" applyBorder="1" applyAlignment="1">
      <alignment horizontal="center" vertical="center"/>
    </xf>
    <xf numFmtId="0" fontId="5" fillId="19" borderId="13" xfId="1" applyFont="1" applyFill="1" applyBorder="1" applyAlignment="1">
      <alignment horizontal="left" vertical="center" wrapText="1"/>
    </xf>
    <xf numFmtId="0" fontId="1" fillId="19" borderId="13" xfId="1" applyFill="1" applyBorder="1" applyAlignment="1">
      <alignment horizontal="left" vertical="center" wrapText="1" indent="1"/>
    </xf>
    <xf numFmtId="0" fontId="1" fillId="19" borderId="13" xfId="1" applyFill="1" applyBorder="1" applyAlignment="1">
      <alignment horizontal="left" vertical="center" indent="1"/>
    </xf>
    <xf numFmtId="0" fontId="1" fillId="19" borderId="12" xfId="1" applyFill="1" applyBorder="1" applyAlignment="1">
      <alignment horizontal="left" vertical="center" indent="1"/>
    </xf>
    <xf numFmtId="0" fontId="5" fillId="19" borderId="20" xfId="1" applyFont="1" applyFill="1" applyBorder="1" applyAlignment="1">
      <alignment horizontal="left"/>
    </xf>
    <xf numFmtId="0" fontId="1" fillId="19" borderId="12" xfId="1" applyFill="1" applyBorder="1" applyAlignment="1">
      <alignment horizontal="left" vertical="center" wrapText="1" indent="1"/>
    </xf>
    <xf numFmtId="0" fontId="0" fillId="20" borderId="17" xfId="0" applyFill="1" applyBorder="1" applyAlignment="1">
      <alignment horizontal="center" vertical="center"/>
    </xf>
    <xf numFmtId="0" fontId="5" fillId="19" borderId="23" xfId="1" applyFont="1" applyFill="1" applyBorder="1" applyAlignment="1">
      <alignment horizontal="left" indent="1"/>
    </xf>
    <xf numFmtId="0" fontId="5" fillId="19" borderId="23" xfId="1" applyFont="1" applyFill="1" applyBorder="1" applyAlignment="1">
      <alignment horizontal="left" vertical="center" wrapText="1" indent="1"/>
    </xf>
    <xf numFmtId="1" fontId="0" fillId="20" borderId="18" xfId="0" applyNumberFormat="1" applyFill="1" applyBorder="1" applyAlignment="1">
      <alignment horizontal="center" vertical="center"/>
    </xf>
    <xf numFmtId="0" fontId="1" fillId="19" borderId="13" xfId="1" applyFill="1" applyBorder="1" applyAlignment="1">
      <alignment horizontal="left" vertical="center" wrapText="1"/>
    </xf>
    <xf numFmtId="0" fontId="1" fillId="19" borderId="12" xfId="1" applyFill="1" applyBorder="1" applyAlignment="1">
      <alignment horizontal="left" vertical="center" wrapText="1"/>
    </xf>
    <xf numFmtId="0" fontId="0" fillId="19" borderId="24" xfId="0" applyFill="1" applyBorder="1" applyAlignment="1">
      <alignment horizontal="center"/>
    </xf>
    <xf numFmtId="0" fontId="6" fillId="19" borderId="33" xfId="0" applyFont="1" applyFill="1" applyBorder="1" applyAlignment="1">
      <alignment horizontal="center"/>
    </xf>
    <xf numFmtId="0" fontId="6" fillId="19" borderId="38" xfId="0" applyFont="1" applyFill="1" applyBorder="1" applyAlignment="1">
      <alignment horizontal="center"/>
    </xf>
    <xf numFmtId="1" fontId="6" fillId="19" borderId="38" xfId="0" applyNumberFormat="1" applyFont="1" applyFill="1" applyBorder="1" applyAlignment="1">
      <alignment horizontal="center"/>
    </xf>
    <xf numFmtId="0" fontId="5" fillId="19" borderId="13" xfId="1" applyFont="1" applyFill="1" applyBorder="1" applyAlignment="1">
      <alignment horizontal="left" wrapText="1"/>
    </xf>
    <xf numFmtId="0" fontId="5" fillId="19" borderId="0" xfId="1" applyFont="1" applyFill="1" applyAlignment="1">
      <alignment horizontal="left" wrapText="1"/>
    </xf>
    <xf numFmtId="0" fontId="6" fillId="19" borderId="18" xfId="0" applyFont="1" applyFill="1" applyBorder="1" applyAlignment="1">
      <alignment horizontal="center"/>
    </xf>
    <xf numFmtId="0" fontId="6" fillId="20" borderId="18" xfId="0" applyFont="1" applyFill="1" applyBorder="1" applyAlignment="1">
      <alignment horizontal="center"/>
    </xf>
    <xf numFmtId="1" fontId="6" fillId="20" borderId="18" xfId="0" applyNumberFormat="1" applyFont="1" applyFill="1" applyBorder="1" applyAlignment="1">
      <alignment horizontal="center"/>
    </xf>
    <xf numFmtId="0" fontId="6" fillId="20" borderId="17" xfId="0" applyFont="1" applyFill="1" applyBorder="1" applyAlignment="1">
      <alignment horizontal="center"/>
    </xf>
    <xf numFmtId="0" fontId="1" fillId="19" borderId="13" xfId="1" applyFill="1" applyBorder="1" applyAlignment="1">
      <alignment vertical="center" wrapText="1"/>
    </xf>
    <xf numFmtId="0" fontId="5" fillId="19" borderId="13" xfId="1" applyFont="1" applyFill="1" applyBorder="1" applyAlignment="1">
      <alignment vertical="center" wrapText="1"/>
    </xf>
    <xf numFmtId="0" fontId="6" fillId="20" borderId="35" xfId="0" applyFont="1" applyFill="1" applyBorder="1" applyAlignment="1">
      <alignment horizontal="center"/>
    </xf>
    <xf numFmtId="0" fontId="1" fillId="19" borderId="12" xfId="1" applyFill="1" applyBorder="1" applyAlignment="1">
      <alignment vertical="center" wrapText="1"/>
    </xf>
    <xf numFmtId="0" fontId="0" fillId="19" borderId="38" xfId="0" applyFill="1" applyBorder="1" applyAlignment="1">
      <alignment horizontal="center"/>
    </xf>
    <xf numFmtId="0" fontId="51" fillId="11" borderId="0" xfId="0" applyFont="1" applyFill="1"/>
    <xf numFmtId="0" fontId="0" fillId="12" borderId="1" xfId="0" applyFill="1" applyBorder="1" applyAlignment="1">
      <alignment horizontal="center"/>
    </xf>
    <xf numFmtId="0" fontId="0" fillId="5" borderId="1" xfId="0" applyFill="1" applyBorder="1" applyAlignment="1">
      <alignment horizontal="center"/>
    </xf>
    <xf numFmtId="0" fontId="6" fillId="20" borderId="35" xfId="0" applyFont="1" applyFill="1" applyBorder="1" applyAlignment="1">
      <alignment horizontal="center" vertical="center"/>
    </xf>
    <xf numFmtId="0" fontId="5" fillId="19" borderId="23" xfId="1" applyFont="1" applyFill="1" applyBorder="1" applyAlignment="1">
      <alignment horizontal="left" vertical="center" wrapText="1"/>
    </xf>
    <xf numFmtId="0" fontId="5" fillId="19" borderId="20" xfId="1" applyFont="1" applyFill="1" applyBorder="1" applyAlignment="1">
      <alignment horizontal="left" vertical="center" wrapText="1"/>
    </xf>
    <xf numFmtId="0" fontId="0" fillId="19" borderId="24" xfId="0" applyFill="1" applyBorder="1" applyAlignment="1">
      <alignment horizontal="center" vertical="center"/>
    </xf>
    <xf numFmtId="0" fontId="5" fillId="19" borderId="23" xfId="1" applyFont="1" applyFill="1" applyBorder="1" applyAlignment="1">
      <alignment horizontal="left" wrapText="1"/>
    </xf>
    <xf numFmtId="0" fontId="5" fillId="19" borderId="12" xfId="1" applyFont="1" applyFill="1" applyBorder="1" applyAlignment="1">
      <alignment horizontal="left" vertical="center" wrapText="1"/>
    </xf>
    <xf numFmtId="0" fontId="5" fillId="19" borderId="23" xfId="1" applyFont="1" applyFill="1" applyBorder="1" applyAlignment="1">
      <alignment wrapText="1"/>
    </xf>
    <xf numFmtId="2" fontId="61" fillId="19" borderId="20" xfId="1" applyNumberFormat="1" applyFont="1" applyFill="1" applyBorder="1" applyAlignment="1">
      <alignment horizontal="center" wrapText="1"/>
    </xf>
    <xf numFmtId="0" fontId="5" fillId="19" borderId="20" xfId="1" applyFont="1" applyFill="1" applyBorder="1" applyAlignment="1">
      <alignment horizontal="center"/>
    </xf>
    <xf numFmtId="0" fontId="5" fillId="19" borderId="24" xfId="1" applyFont="1" applyFill="1" applyBorder="1" applyAlignment="1">
      <alignment horizontal="center"/>
    </xf>
    <xf numFmtId="0" fontId="13" fillId="19" borderId="25" xfId="0" applyFont="1" applyFill="1" applyBorder="1" applyAlignment="1">
      <alignment horizontal="center"/>
    </xf>
    <xf numFmtId="0" fontId="56" fillId="19" borderId="17" xfId="0" applyFont="1" applyFill="1" applyBorder="1" applyAlignment="1">
      <alignment horizontal="center"/>
    </xf>
    <xf numFmtId="0" fontId="1" fillId="19" borderId="0" xfId="1" applyFill="1" applyAlignment="1">
      <alignment horizontal="center" wrapText="1"/>
    </xf>
    <xf numFmtId="0" fontId="13" fillId="19" borderId="0" xfId="0" applyFont="1" applyFill="1" applyAlignment="1">
      <alignment horizontal="center"/>
    </xf>
    <xf numFmtId="0" fontId="56" fillId="19" borderId="45" xfId="0" applyFont="1" applyFill="1" applyBorder="1" applyAlignment="1">
      <alignment horizontal="center"/>
    </xf>
    <xf numFmtId="0" fontId="5" fillId="19" borderId="44" xfId="1" applyFont="1" applyFill="1" applyBorder="1" applyAlignment="1">
      <alignment horizontal="left" wrapText="1" indent="1"/>
    </xf>
    <xf numFmtId="0" fontId="1" fillId="19" borderId="44" xfId="1" applyFill="1" applyBorder="1" applyAlignment="1">
      <alignment horizontal="left" wrapText="1" indent="1"/>
    </xf>
    <xf numFmtId="1" fontId="1" fillId="19" borderId="0" xfId="1" applyNumberFormat="1" applyFill="1" applyAlignment="1">
      <alignment horizontal="left" wrapText="1"/>
    </xf>
    <xf numFmtId="0" fontId="1" fillId="19" borderId="56" xfId="1" applyFill="1" applyBorder="1" applyAlignment="1">
      <alignment horizontal="center" wrapText="1"/>
    </xf>
    <xf numFmtId="1" fontId="1" fillId="19" borderId="51" xfId="1" applyNumberFormat="1" applyFill="1" applyBorder="1" applyAlignment="1">
      <alignment horizontal="center" wrapText="1"/>
    </xf>
    <xf numFmtId="0" fontId="13" fillId="19" borderId="51" xfId="0" applyFont="1" applyFill="1" applyBorder="1" applyAlignment="1">
      <alignment horizontal="center"/>
    </xf>
    <xf numFmtId="0" fontId="56" fillId="19" borderId="57" xfId="0" applyFont="1" applyFill="1" applyBorder="1" applyAlignment="1">
      <alignment horizontal="center"/>
    </xf>
    <xf numFmtId="0" fontId="56" fillId="19" borderId="55" xfId="0" applyFont="1" applyFill="1" applyBorder="1" applyAlignment="1">
      <alignment horizontal="center"/>
    </xf>
    <xf numFmtId="9" fontId="13" fillId="19" borderId="0" xfId="0" applyNumberFormat="1" applyFont="1" applyFill="1" applyAlignment="1">
      <alignment horizontal="left"/>
    </xf>
    <xf numFmtId="0" fontId="13" fillId="19" borderId="0" xfId="0" applyFont="1" applyFill="1" applyAlignment="1">
      <alignment horizontal="left"/>
    </xf>
    <xf numFmtId="0" fontId="1" fillId="19" borderId="44" xfId="1" applyFill="1" applyBorder="1" applyAlignment="1">
      <alignment horizontal="left" indent="1"/>
    </xf>
    <xf numFmtId="0" fontId="13" fillId="19" borderId="44" xfId="0" applyFont="1" applyFill="1" applyBorder="1" applyAlignment="1">
      <alignment horizontal="left" wrapText="1"/>
    </xf>
    <xf numFmtId="0" fontId="1" fillId="19" borderId="56" xfId="1" applyFill="1" applyBorder="1" applyAlignment="1">
      <alignment horizontal="left" wrapText="1" indent="1"/>
    </xf>
    <xf numFmtId="9" fontId="13" fillId="19" borderId="51" xfId="0" applyNumberFormat="1" applyFont="1" applyFill="1" applyBorder="1" applyAlignment="1">
      <alignment horizontal="left"/>
    </xf>
    <xf numFmtId="0" fontId="13" fillId="19" borderId="51" xfId="0" applyFont="1" applyFill="1" applyBorder="1" applyAlignment="1">
      <alignment horizontal="left"/>
    </xf>
    <xf numFmtId="0" fontId="13" fillId="19" borderId="54" xfId="0" applyFont="1" applyFill="1" applyBorder="1" applyAlignment="1">
      <alignment horizontal="left" wrapText="1"/>
    </xf>
    <xf numFmtId="0" fontId="13" fillId="19" borderId="50" xfId="0" applyFont="1" applyFill="1" applyBorder="1" applyAlignment="1">
      <alignment horizontal="left"/>
    </xf>
    <xf numFmtId="164" fontId="13" fillId="19" borderId="0" xfId="0" applyNumberFormat="1" applyFont="1" applyFill="1" applyAlignment="1">
      <alignment horizontal="left"/>
    </xf>
    <xf numFmtId="0" fontId="13" fillId="19" borderId="54" xfId="0" applyFont="1" applyFill="1" applyBorder="1" applyAlignment="1">
      <alignment horizontal="left" indent="1"/>
    </xf>
    <xf numFmtId="0" fontId="50" fillId="19" borderId="44" xfId="0" applyFont="1" applyFill="1" applyBorder="1" applyAlignment="1">
      <alignment horizontal="left" indent="1"/>
    </xf>
    <xf numFmtId="0" fontId="13" fillId="19" borderId="44" xfId="0" applyFont="1" applyFill="1" applyBorder="1" applyAlignment="1">
      <alignment horizontal="left"/>
    </xf>
    <xf numFmtId="0" fontId="0" fillId="19" borderId="46" xfId="0" applyFill="1" applyBorder="1" applyAlignment="1">
      <alignment horizontal="center"/>
    </xf>
    <xf numFmtId="0" fontId="0" fillId="19" borderId="49" xfId="0" applyFill="1" applyBorder="1" applyAlignment="1">
      <alignment horizontal="center"/>
    </xf>
    <xf numFmtId="0" fontId="0" fillId="19" borderId="47" xfId="0" applyFill="1" applyBorder="1" applyAlignment="1">
      <alignment horizontal="center"/>
    </xf>
    <xf numFmtId="1" fontId="0" fillId="19" borderId="55" xfId="0" applyNumberFormat="1" applyFill="1" applyBorder="1" applyAlignment="1">
      <alignment horizontal="center"/>
    </xf>
    <xf numFmtId="1" fontId="0" fillId="19" borderId="45" xfId="0" applyNumberFormat="1" applyFill="1" applyBorder="1" applyAlignment="1">
      <alignment horizontal="center"/>
    </xf>
    <xf numFmtId="1" fontId="0" fillId="19" borderId="57" xfId="0" applyNumberFormat="1" applyFill="1" applyBorder="1" applyAlignment="1">
      <alignment horizontal="center"/>
    </xf>
    <xf numFmtId="1" fontId="0" fillId="19" borderId="59" xfId="0" applyNumberFormat="1" applyFill="1" applyBorder="1" applyAlignment="1">
      <alignment horizontal="center"/>
    </xf>
    <xf numFmtId="1" fontId="0" fillId="19" borderId="47" xfId="0" applyNumberFormat="1" applyFill="1" applyBorder="1" applyAlignment="1">
      <alignment horizontal="center"/>
    </xf>
    <xf numFmtId="164" fontId="0" fillId="19" borderId="43" xfId="0" applyNumberFormat="1" applyFill="1" applyBorder="1" applyAlignment="1">
      <alignment horizontal="center"/>
    </xf>
    <xf numFmtId="164" fontId="0" fillId="19" borderId="45" xfId="0" applyNumberFormat="1" applyFill="1" applyBorder="1" applyAlignment="1">
      <alignment horizontal="center"/>
    </xf>
    <xf numFmtId="164" fontId="0" fillId="19" borderId="47" xfId="0" applyNumberFormat="1" applyFill="1" applyBorder="1" applyAlignment="1">
      <alignment horizontal="center"/>
    </xf>
    <xf numFmtId="0" fontId="0" fillId="19" borderId="0" xfId="0" applyFill="1" applyAlignment="1">
      <alignment horizontal="center" vertical="center"/>
    </xf>
    <xf numFmtId="0" fontId="0" fillId="19" borderId="0" xfId="0" applyFill="1" applyAlignment="1">
      <alignment horizontal="center" vertical="center" wrapText="1"/>
    </xf>
    <xf numFmtId="2" fontId="0" fillId="19" borderId="0" xfId="0" applyNumberFormat="1" applyFill="1" applyAlignment="1">
      <alignment horizontal="center" vertical="center"/>
    </xf>
    <xf numFmtId="164" fontId="5" fillId="19" borderId="49" xfId="0" applyNumberFormat="1" applyFont="1" applyFill="1" applyBorder="1" applyAlignment="1">
      <alignment horizontal="center"/>
    </xf>
    <xf numFmtId="0" fontId="5" fillId="19" borderId="0" xfId="1" applyFont="1" applyFill="1" applyAlignment="1">
      <alignment horizontal="center"/>
    </xf>
    <xf numFmtId="0" fontId="56" fillId="19" borderId="18" xfId="0" applyFont="1" applyFill="1" applyBorder="1" applyAlignment="1">
      <alignment horizontal="center"/>
    </xf>
    <xf numFmtId="0" fontId="6" fillId="21" borderId="0" xfId="0" applyFont="1" applyFill="1"/>
    <xf numFmtId="0" fontId="0" fillId="21" borderId="0" xfId="0" applyFill="1"/>
    <xf numFmtId="0" fontId="48" fillId="21" borderId="0" xfId="0" applyFont="1" applyFill="1" applyAlignment="1">
      <alignment vertical="center"/>
    </xf>
    <xf numFmtId="0" fontId="47" fillId="21" borderId="0" xfId="0" applyFont="1" applyFill="1"/>
    <xf numFmtId="0" fontId="12" fillId="21" borderId="0" xfId="0" applyFont="1" applyFill="1" applyAlignment="1">
      <alignment vertical="center"/>
    </xf>
    <xf numFmtId="0" fontId="63" fillId="21" borderId="0" xfId="4" applyFont="1" applyFill="1" applyAlignment="1" applyProtection="1">
      <alignment vertical="center"/>
    </xf>
    <xf numFmtId="0" fontId="0" fillId="21" borderId="0" xfId="0" applyFill="1" applyAlignment="1">
      <alignment horizontal="left"/>
    </xf>
    <xf numFmtId="0" fontId="64" fillId="21" borderId="0" xfId="0" applyFont="1" applyFill="1"/>
    <xf numFmtId="0" fontId="12" fillId="21" borderId="0" xfId="0" applyFont="1" applyFill="1"/>
    <xf numFmtId="0" fontId="65" fillId="11" borderId="0" xfId="0" applyFont="1" applyFill="1" applyAlignment="1">
      <alignment horizontal="left"/>
    </xf>
    <xf numFmtId="0" fontId="5" fillId="7" borderId="0" xfId="1" applyFont="1" applyFill="1" applyAlignment="1">
      <alignment horizontal="center" wrapText="1"/>
    </xf>
    <xf numFmtId="2" fontId="6" fillId="7" borderId="0" xfId="0" applyNumberFormat="1" applyFont="1" applyFill="1" applyAlignment="1" applyProtection="1">
      <alignment horizontal="right" wrapText="1"/>
      <protection locked="0"/>
    </xf>
    <xf numFmtId="0" fontId="5" fillId="7" borderId="25" xfId="1" applyFont="1" applyFill="1" applyBorder="1" applyAlignment="1">
      <alignment horizontal="center" wrapText="1"/>
    </xf>
    <xf numFmtId="0" fontId="5" fillId="3" borderId="34" xfId="1" applyFont="1" applyFill="1" applyBorder="1" applyAlignment="1">
      <alignment horizontal="left" vertical="center"/>
    </xf>
    <xf numFmtId="0" fontId="5" fillId="3" borderId="36" xfId="1" applyFont="1" applyFill="1" applyBorder="1" applyAlignment="1">
      <alignment horizontal="left" vertical="center"/>
    </xf>
    <xf numFmtId="0" fontId="0" fillId="4" borderId="0" xfId="0" applyFill="1" applyAlignment="1">
      <alignment horizontal="left" vertical="top" wrapText="1"/>
    </xf>
    <xf numFmtId="0" fontId="1" fillId="19" borderId="0" xfId="1" applyFill="1" applyAlignment="1">
      <alignment horizontal="left" vertical="center" wrapText="1"/>
    </xf>
    <xf numFmtId="0" fontId="1" fillId="19" borderId="0" xfId="1" applyFill="1" applyAlignment="1">
      <alignment horizontal="left" vertical="center"/>
    </xf>
    <xf numFmtId="0" fontId="1" fillId="19" borderId="25" xfId="1" applyFill="1" applyBorder="1" applyAlignment="1">
      <alignment horizontal="left" vertical="center" wrapText="1"/>
    </xf>
    <xf numFmtId="0" fontId="5" fillId="19" borderId="20" xfId="1" applyFont="1" applyFill="1" applyBorder="1" applyAlignment="1">
      <alignment horizontal="left" vertical="center" wrapText="1" indent="1"/>
    </xf>
    <xf numFmtId="0" fontId="0" fillId="4" borderId="0" xfId="0" applyFill="1" applyAlignment="1">
      <alignment horizontal="left" wrapText="1"/>
    </xf>
    <xf numFmtId="0" fontId="1" fillId="19" borderId="0" xfId="1" applyFill="1" applyAlignment="1">
      <alignment horizontal="left" vertical="center" wrapText="1" indent="1"/>
    </xf>
    <xf numFmtId="0" fontId="1" fillId="0" borderId="0" xfId="1" applyAlignment="1">
      <alignment horizontal="left" wrapText="1"/>
    </xf>
    <xf numFmtId="0" fontId="1" fillId="19" borderId="25" xfId="1" applyFill="1" applyBorder="1" applyAlignment="1">
      <alignment horizontal="left" vertical="center" wrapText="1" indent="1"/>
    </xf>
    <xf numFmtId="0" fontId="5" fillId="3" borderId="36" xfId="1" applyFont="1" applyFill="1" applyBorder="1" applyAlignment="1">
      <alignment horizontal="center"/>
    </xf>
    <xf numFmtId="0" fontId="1" fillId="7" borderId="0" xfId="1" applyFill="1" applyAlignment="1">
      <alignment horizontal="right" wrapText="1"/>
    </xf>
    <xf numFmtId="0" fontId="5" fillId="7" borderId="0" xfId="1" applyFont="1" applyFill="1" applyAlignment="1">
      <alignment horizontal="left" wrapText="1"/>
    </xf>
    <xf numFmtId="0" fontId="1" fillId="7" borderId="0" xfId="1" applyFill="1" applyAlignment="1">
      <alignment horizontal="left" wrapText="1"/>
    </xf>
    <xf numFmtId="0" fontId="7" fillId="7" borderId="0" xfId="1" applyFont="1" applyFill="1" applyAlignment="1">
      <alignment horizontal="left" wrapText="1"/>
    </xf>
    <xf numFmtId="0" fontId="5" fillId="0" borderId="0" xfId="1" applyFont="1" applyAlignment="1">
      <alignment horizontal="left" wrapText="1"/>
    </xf>
    <xf numFmtId="0" fontId="6" fillId="13" borderId="12" xfId="0" applyFont="1" applyFill="1" applyBorder="1" applyAlignment="1">
      <alignment horizontal="right"/>
    </xf>
    <xf numFmtId="0" fontId="6" fillId="13" borderId="25" xfId="0" applyFont="1" applyFill="1" applyBorder="1" applyAlignment="1">
      <alignment horizontal="right"/>
    </xf>
    <xf numFmtId="0" fontId="5" fillId="3" borderId="35" xfId="1" applyFont="1" applyFill="1" applyBorder="1" applyAlignment="1">
      <alignment horizontal="center"/>
    </xf>
    <xf numFmtId="17" fontId="0" fillId="4" borderId="0" xfId="0" applyNumberFormat="1" applyFill="1" applyAlignment="1">
      <alignment horizontal="left" wrapText="1"/>
    </xf>
    <xf numFmtId="0" fontId="5" fillId="7" borderId="20" xfId="1" applyFont="1" applyFill="1" applyBorder="1" applyAlignment="1">
      <alignment horizontal="center"/>
    </xf>
    <xf numFmtId="0" fontId="5" fillId="7" borderId="0" xfId="1" applyFont="1" applyFill="1" applyAlignment="1">
      <alignment horizontal="center"/>
    </xf>
    <xf numFmtId="0" fontId="5" fillId="7" borderId="13" xfId="1" applyFont="1" applyFill="1" applyBorder="1" applyAlignment="1">
      <alignment horizontal="left" wrapText="1"/>
    </xf>
    <xf numFmtId="0" fontId="5" fillId="0" borderId="0" xfId="1" applyFont="1" applyAlignment="1">
      <alignment horizontal="left" vertical="top" wrapText="1"/>
    </xf>
    <xf numFmtId="0" fontId="6" fillId="0" borderId="0" xfId="0" applyFont="1" applyAlignment="1">
      <alignment horizontal="left" wrapText="1"/>
    </xf>
    <xf numFmtId="0" fontId="5" fillId="5" borderId="0" xfId="0" applyFont="1" applyFill="1" applyAlignment="1">
      <alignment horizontal="center"/>
    </xf>
    <xf numFmtId="3" fontId="6" fillId="5" borderId="0" xfId="0" applyNumberFormat="1" applyFont="1" applyFill="1" applyAlignment="1">
      <alignment horizontal="center"/>
    </xf>
    <xf numFmtId="0" fontId="5" fillId="7" borderId="13" xfId="1" applyFont="1" applyFill="1" applyBorder="1" applyAlignment="1">
      <alignment horizontal="left" vertical="center" wrapText="1"/>
    </xf>
    <xf numFmtId="0" fontId="5" fillId="7" borderId="0" xfId="1" applyFont="1" applyFill="1" applyAlignment="1">
      <alignment horizontal="left" vertical="center" wrapText="1"/>
    </xf>
    <xf numFmtId="0" fontId="6" fillId="7" borderId="23" xfId="0" applyFont="1" applyFill="1" applyBorder="1" applyAlignment="1">
      <alignment horizontal="left" wrapText="1"/>
    </xf>
    <xf numFmtId="0" fontId="6" fillId="7" borderId="20" xfId="0" applyFont="1" applyFill="1" applyBorder="1" applyAlignment="1">
      <alignment horizontal="left" wrapText="1"/>
    </xf>
    <xf numFmtId="0" fontId="5" fillId="19" borderId="20" xfId="1" applyFont="1" applyFill="1" applyBorder="1" applyAlignment="1">
      <alignment horizontal="center" vertical="center" wrapText="1"/>
    </xf>
    <xf numFmtId="0" fontId="1" fillId="7" borderId="13" xfId="1" applyFill="1" applyBorder="1" applyAlignment="1">
      <alignment horizontal="left" vertical="top" wrapText="1" indent="1"/>
    </xf>
    <xf numFmtId="0" fontId="1" fillId="7" borderId="0" xfId="1" applyFill="1" applyAlignment="1">
      <alignment horizontal="left" vertical="top" wrapText="1" indent="1"/>
    </xf>
    <xf numFmtId="0" fontId="0" fillId="4" borderId="0" xfId="0" applyFill="1" applyAlignment="1">
      <alignment horizontal="center" vertical="center" wrapText="1"/>
    </xf>
    <xf numFmtId="0" fontId="1" fillId="7" borderId="13" xfId="1" applyFill="1" applyBorder="1" applyAlignment="1">
      <alignment horizontal="left" vertical="center" wrapText="1" indent="1"/>
    </xf>
    <xf numFmtId="0" fontId="1" fillId="7" borderId="0" xfId="1" applyFill="1" applyAlignment="1">
      <alignment horizontal="left" vertical="center" wrapText="1" indent="1"/>
    </xf>
    <xf numFmtId="0" fontId="6" fillId="13" borderId="12" xfId="0" applyFont="1" applyFill="1" applyBorder="1" applyAlignment="1">
      <alignment horizontal="center" vertical="center" wrapText="1"/>
    </xf>
    <xf numFmtId="0" fontId="6" fillId="13" borderId="25" xfId="0" applyFont="1" applyFill="1" applyBorder="1" applyAlignment="1">
      <alignment horizontal="center" vertical="center" wrapText="1"/>
    </xf>
    <xf numFmtId="0" fontId="6" fillId="13" borderId="34" xfId="0" applyFont="1" applyFill="1" applyBorder="1" applyAlignment="1">
      <alignment horizontal="right" vertical="center" wrapText="1"/>
    </xf>
    <xf numFmtId="0" fontId="6" fillId="13" borderId="36" xfId="0" applyFont="1" applyFill="1" applyBorder="1" applyAlignment="1">
      <alignment horizontal="right" vertical="center" wrapText="1"/>
    </xf>
    <xf numFmtId="0" fontId="5" fillId="19" borderId="20" xfId="1" applyFont="1" applyFill="1" applyBorder="1" applyAlignment="1">
      <alignment horizontal="left" wrapText="1"/>
    </xf>
    <xf numFmtId="0" fontId="5" fillId="3" borderId="23" xfId="1" applyFont="1" applyFill="1" applyBorder="1" applyAlignment="1">
      <alignment horizontal="center"/>
    </xf>
    <xf numFmtId="0" fontId="5" fillId="3" borderId="20" xfId="1" applyFont="1" applyFill="1" applyBorder="1" applyAlignment="1">
      <alignment horizontal="center"/>
    </xf>
    <xf numFmtId="0" fontId="5" fillId="3" borderId="24" xfId="1" applyFont="1" applyFill="1" applyBorder="1" applyAlignment="1">
      <alignment horizontal="center"/>
    </xf>
    <xf numFmtId="0" fontId="5" fillId="19" borderId="44" xfId="1" applyFont="1" applyFill="1" applyBorder="1" applyAlignment="1">
      <alignment horizontal="left" wrapText="1" indent="1"/>
    </xf>
    <xf numFmtId="0" fontId="5" fillId="19" borderId="0" xfId="1" applyFont="1" applyFill="1" applyAlignment="1">
      <alignment horizontal="left" wrapText="1" indent="1"/>
    </xf>
    <xf numFmtId="0" fontId="5" fillId="19" borderId="54" xfId="1" applyFont="1" applyFill="1" applyBorder="1" applyAlignment="1">
      <alignment horizontal="left" wrapText="1" indent="1"/>
    </xf>
    <xf numFmtId="0" fontId="5" fillId="19" borderId="50" xfId="1" applyFont="1" applyFill="1" applyBorder="1" applyAlignment="1">
      <alignment horizontal="left" wrapText="1" indent="1"/>
    </xf>
    <xf numFmtId="2" fontId="61" fillId="19" borderId="12" xfId="1" applyNumberFormat="1" applyFont="1" applyFill="1" applyBorder="1" applyAlignment="1">
      <alignment horizontal="right" vertical="top" wrapText="1"/>
    </xf>
    <xf numFmtId="0" fontId="61" fillId="19" borderId="25" xfId="1" applyFont="1" applyFill="1" applyBorder="1" applyAlignment="1">
      <alignment horizontal="right" vertical="top" wrapText="1"/>
    </xf>
    <xf numFmtId="0" fontId="1" fillId="19" borderId="44" xfId="1" applyFill="1" applyBorder="1" applyAlignment="1">
      <alignment horizontal="center" wrapText="1"/>
    </xf>
    <xf numFmtId="0" fontId="1" fillId="19" borderId="0" xfId="1" applyFill="1" applyAlignment="1">
      <alignment horizontal="center" wrapText="1"/>
    </xf>
    <xf numFmtId="0" fontId="5" fillId="0" borderId="0" xfId="1" applyFont="1" applyAlignment="1">
      <alignment horizontal="left" vertical="center" wrapText="1"/>
    </xf>
    <xf numFmtId="0" fontId="1" fillId="8" borderId="54" xfId="1" applyFill="1" applyBorder="1" applyAlignment="1">
      <alignment horizontal="left" vertical="top" wrapText="1" indent="1"/>
    </xf>
    <xf numFmtId="0" fontId="1" fillId="8" borderId="44" xfId="1" applyFill="1" applyBorder="1" applyAlignment="1">
      <alignment horizontal="left" vertical="top" wrapText="1" indent="1"/>
    </xf>
    <xf numFmtId="0" fontId="1" fillId="8" borderId="56" xfId="1" applyFill="1" applyBorder="1" applyAlignment="1">
      <alignment horizontal="left" vertical="top" wrapText="1" indent="1"/>
    </xf>
    <xf numFmtId="0" fontId="5" fillId="3" borderId="42" xfId="1" applyFont="1" applyFill="1" applyBorder="1" applyAlignment="1">
      <alignment horizontal="center"/>
    </xf>
    <xf numFmtId="0" fontId="5" fillId="3" borderId="53" xfId="1" applyFont="1" applyFill="1" applyBorder="1" applyAlignment="1">
      <alignment horizontal="center"/>
    </xf>
    <xf numFmtId="0" fontId="5" fillId="3" borderId="43" xfId="1" applyFont="1" applyFill="1" applyBorder="1" applyAlignment="1">
      <alignment horizontal="center"/>
    </xf>
    <xf numFmtId="2" fontId="61" fillId="19" borderId="12" xfId="1" applyNumberFormat="1" applyFont="1" applyFill="1" applyBorder="1" applyAlignment="1">
      <alignment horizontal="center" vertical="center" wrapText="1"/>
    </xf>
    <xf numFmtId="0" fontId="61" fillId="19" borderId="25" xfId="1" applyFont="1" applyFill="1" applyBorder="1" applyAlignment="1">
      <alignment horizontal="center" vertical="center" wrapText="1"/>
    </xf>
    <xf numFmtId="0" fontId="5" fillId="19" borderId="23" xfId="1" applyFont="1" applyFill="1" applyBorder="1" applyAlignment="1">
      <alignment horizontal="left" vertical="center" indent="1"/>
    </xf>
    <xf numFmtId="0" fontId="5" fillId="19" borderId="13" xfId="1" applyFont="1" applyFill="1" applyBorder="1" applyAlignment="1">
      <alignment horizontal="left" vertical="center" indent="1"/>
    </xf>
    <xf numFmtId="2" fontId="61" fillId="19" borderId="20" xfId="1" applyNumberFormat="1" applyFont="1" applyFill="1" applyBorder="1" applyAlignment="1">
      <alignment horizontal="center" vertical="center" wrapText="1"/>
    </xf>
    <xf numFmtId="2" fontId="61" fillId="19" borderId="0" xfId="1" applyNumberFormat="1" applyFont="1" applyFill="1" applyAlignment="1">
      <alignment horizontal="center" vertical="center" wrapText="1"/>
    </xf>
  </cellXfs>
  <cellStyles count="19">
    <cellStyle name="Comma" xfId="11" builtinId="3"/>
    <cellStyle name="Comma 2" xfId="2" xr:uid="{00000000-0005-0000-0000-000001000000}"/>
    <cellStyle name="Comma 2 2" xfId="16" xr:uid="{CB73BCDB-4B70-47BF-8F6A-D73E79A1D5F1}"/>
    <cellStyle name="Comma 3" xfId="12" xr:uid="{00000000-0005-0000-0000-000002000000}"/>
    <cellStyle name="Comma 3 2" xfId="18" xr:uid="{43EEBEEA-A2DE-4CBB-B9E1-5C8B18B8022D}"/>
    <cellStyle name="Comma 4" xfId="17" xr:uid="{3B826119-3FEB-4ACE-B3C5-B924FA30C26D}"/>
    <cellStyle name="Hyperlink" xfId="4" builtinId="8"/>
    <cellStyle name="Normal" xfId="0" builtinId="0"/>
    <cellStyle name="Normal 2" xfId="1" xr:uid="{00000000-0005-0000-0000-000005000000}"/>
    <cellStyle name="Normal 3" xfId="14" xr:uid="{00000000-0005-0000-0000-000006000000}"/>
    <cellStyle name="Normal_2000sgmclass0405v1" xfId="5" xr:uid="{00000000-0005-0000-0000-000007000000}"/>
    <cellStyle name="Normal_fact sheet 10.1" xfId="15" xr:uid="{00000000-0005-0000-0000-000008000000}"/>
    <cellStyle name="Normal_Section A" xfId="9" xr:uid="{00000000-0005-0000-0000-000009000000}"/>
    <cellStyle name="Normal_Section C3" xfId="8" xr:uid="{00000000-0005-0000-0000-00000A000000}"/>
    <cellStyle name="Normal_Section E1" xfId="6" xr:uid="{00000000-0005-0000-0000-00000B000000}"/>
    <cellStyle name="Normal_Section E2" xfId="7" xr:uid="{00000000-0005-0000-0000-00000C000000}"/>
    <cellStyle name="Percent" xfId="10" builtinId="5"/>
    <cellStyle name="Percent 2" xfId="3" xr:uid="{00000000-0005-0000-0000-00000E000000}"/>
    <cellStyle name="Percent 3" xfId="13" xr:uid="{00000000-0005-0000-0000-00000F000000}"/>
  </cellStyles>
  <dxfs count="5">
    <dxf>
      <font>
        <color rgb="FF006100"/>
      </font>
      <fill>
        <patternFill>
          <bgColor rgb="FFC6EFCE"/>
        </patternFill>
      </fill>
    </dxf>
    <dxf>
      <font>
        <color rgb="FF006100"/>
      </font>
      <fill>
        <patternFill>
          <bgColor rgb="FFC6EFCE"/>
        </patternFill>
      </fill>
    </dxf>
    <dxf>
      <font>
        <color rgb="FFFFFF00"/>
      </font>
      <fill>
        <patternFill>
          <bgColor rgb="FFFF0000"/>
        </patternFill>
      </fill>
    </dxf>
    <dxf>
      <font>
        <color rgb="FF9C0006"/>
      </font>
      <fill>
        <patternFill>
          <bgColor rgb="FFFFC7CE"/>
        </patternFill>
      </fill>
    </dxf>
    <dxf>
      <font>
        <color rgb="FFFFFF00"/>
      </font>
      <fill>
        <patternFill>
          <bgColor rgb="FFFF0000"/>
        </patternFill>
      </fill>
    </dxf>
  </dxfs>
  <tableStyles count="0" defaultTableStyle="TableStyleMedium9" defaultPivotStyle="PivotStyleLight16"/>
  <colors>
    <mruColors>
      <color rgb="FF99CC00"/>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30001931178739"/>
          <c:y val="0.12188047477446157"/>
          <c:w val="0.67805642409716649"/>
          <c:h val="0.79209919670629747"/>
        </c:manualLayout>
      </c:layout>
      <c:radarChart>
        <c:radarStyle val="marker"/>
        <c:varyColors val="0"/>
        <c:ser>
          <c:idx val="0"/>
          <c:order val="0"/>
          <c:dLbls>
            <c:spPr>
              <a:noFill/>
              <a:ln>
                <a:noFill/>
              </a:ln>
              <a:effectLst/>
            </c:spPr>
            <c:txPr>
              <a:bodyPr wrap="square" lIns="38100" tIns="19050" rIns="38100" bIns="19050" anchor="t" anchorCtr="0">
                <a:spAutoFit/>
              </a:bodyPr>
              <a:lstStyle/>
              <a:p>
                <a:pPr>
                  <a:defRPr sz="1200" b="1"/>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cat>
            <c:strRef>
              <c:f>'Results with livestock'!$A$48:$A$56</c:f>
              <c:strCache>
                <c:ptCount val="9"/>
                <c:pt idx="0">
                  <c:v>Landscape and heritage features</c:v>
                </c:pt>
                <c:pt idx="1">
                  <c:v>Soil management</c:v>
                </c:pt>
                <c:pt idx="2">
                  <c:v>Energy and carbon</c:v>
                </c:pt>
                <c:pt idx="3">
                  <c:v>Agricultural systems diversity</c:v>
                </c:pt>
                <c:pt idx="4">
                  <c:v>NPK balance</c:v>
                </c:pt>
                <c:pt idx="5">
                  <c:v>Social capital</c:v>
                </c:pt>
                <c:pt idx="6">
                  <c:v>Farm business resilience</c:v>
                </c:pt>
                <c:pt idx="7">
                  <c:v>Animal health and welfare management</c:v>
                </c:pt>
                <c:pt idx="8">
                  <c:v>Governance</c:v>
                </c:pt>
              </c:strCache>
            </c:strRef>
          </c:cat>
          <c:val>
            <c:numRef>
              <c:f>'Results with livestock'!$B$48:$B$56</c:f>
              <c:numCache>
                <c:formatCode>0.0</c:formatCode>
                <c:ptCount val="9"/>
                <c:pt idx="0">
                  <c:v>1</c:v>
                </c:pt>
                <c:pt idx="1">
                  <c:v>3</c:v>
                </c:pt>
                <c:pt idx="2">
                  <c:v>5</c:v>
                </c:pt>
                <c:pt idx="3">
                  <c:v>1</c:v>
                </c:pt>
                <c:pt idx="4">
                  <c:v>0</c:v>
                </c:pt>
                <c:pt idx="5">
                  <c:v>1</c:v>
                </c:pt>
                <c:pt idx="6">
                  <c:v>1</c:v>
                </c:pt>
                <c:pt idx="7">
                  <c:v>0</c:v>
                </c:pt>
                <c:pt idx="8">
                  <c:v>1</c:v>
                </c:pt>
              </c:numCache>
            </c:numRef>
          </c:val>
          <c:extLst>
            <c:ext xmlns:c16="http://schemas.microsoft.com/office/drawing/2014/chart" uri="{C3380CC4-5D6E-409C-BE32-E72D297353CC}">
              <c16:uniqueId val="{00000000-337F-4E07-AF51-8615D30EED51}"/>
            </c:ext>
          </c:extLst>
        </c:ser>
        <c:dLbls>
          <c:showLegendKey val="0"/>
          <c:showVal val="1"/>
          <c:showCatName val="0"/>
          <c:showSerName val="0"/>
          <c:showPercent val="0"/>
          <c:showBubbleSize val="0"/>
        </c:dLbls>
        <c:axId val="383246720"/>
        <c:axId val="383249408"/>
      </c:radarChart>
      <c:catAx>
        <c:axId val="383246720"/>
        <c:scaling>
          <c:orientation val="minMax"/>
        </c:scaling>
        <c:delete val="1"/>
        <c:axPos val="b"/>
        <c:majorGridlines/>
        <c:numFmt formatCode="0.00" sourceLinked="0"/>
        <c:majorTickMark val="none"/>
        <c:minorTickMark val="none"/>
        <c:tickLblPos val="none"/>
        <c:crossAx val="383249408"/>
        <c:crosses val="autoZero"/>
        <c:auto val="1"/>
        <c:lblAlgn val="ctr"/>
        <c:lblOffset val="100"/>
        <c:noMultiLvlLbl val="0"/>
      </c:catAx>
      <c:valAx>
        <c:axId val="383249408"/>
        <c:scaling>
          <c:orientation val="minMax"/>
          <c:max val="5"/>
        </c:scaling>
        <c:delete val="0"/>
        <c:axPos val="l"/>
        <c:majorGridlines/>
        <c:numFmt formatCode="0.0" sourceLinked="1"/>
        <c:majorTickMark val="out"/>
        <c:minorTickMark val="none"/>
        <c:tickLblPos val="nextTo"/>
        <c:crossAx val="383246720"/>
        <c:crosses val="autoZero"/>
        <c:crossBetween val="between"/>
      </c:valAx>
      <c:spPr>
        <a:gradFill>
          <a:gsLst>
            <a:gs pos="69172">
              <a:srgbClr val="00B050"/>
            </a:gs>
            <a:gs pos="7000">
              <a:srgbClr val="FF0000"/>
            </a:gs>
            <a:gs pos="26000">
              <a:srgbClr val="FFC000"/>
            </a:gs>
            <a:gs pos="51000">
              <a:srgbClr val="00B050"/>
            </a:gs>
            <a:gs pos="46000">
              <a:srgbClr val="FFC000"/>
            </a:gs>
            <a:gs pos="73000">
              <a:schemeClr val="bg1"/>
            </a:gs>
          </a:gsLst>
          <a:path path="circle">
            <a:fillToRect l="50000" t="50000" r="50000" b="50000"/>
          </a:path>
        </a:gradFill>
      </c:spPr>
    </c:plotArea>
    <c:plotVisOnly val="1"/>
    <c:dispBlanksAs val="gap"/>
    <c:showDLblsOverMax val="0"/>
  </c:chart>
  <c:spPr>
    <a:ln>
      <a:noFill/>
    </a:ln>
  </c:spPr>
  <c:printSettings>
    <c:headerFooter/>
    <c:pageMargins b="0.74803149606300123" l="0.70866141732284438" r="0.70866141732284438" t="0.74803149606300123" header="0.31496062992126761" footer="0.31496062992126761"/>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6031760713764756"/>
          <c:y val="1.5393282575989478E-2"/>
          <c:w val="0.39830248407835545"/>
          <c:h val="0.93040431111776856"/>
        </c:manualLayout>
      </c:layout>
      <c:barChart>
        <c:barDir val="bar"/>
        <c:grouping val="clustered"/>
        <c:varyColors val="0"/>
        <c:ser>
          <c:idx val="0"/>
          <c:order val="0"/>
          <c:invertIfNegative val="0"/>
          <c:cat>
            <c:multiLvlStrRef>
              <c:f>('Results with livestock'!$A$83:$B$95,'Results with livestock'!$A$96:$B$117)</c:f>
              <c:multiLvlStrCache>
                <c:ptCount val="35"/>
                <c:lvl>
                  <c:pt idx="0">
                    <c:v>Historic features</c:v>
                  </c:pt>
                  <c:pt idx="1">
                    <c:v>Landscape management</c:v>
                  </c:pt>
                  <c:pt idx="2">
                    <c:v>Management of boundaries</c:v>
                  </c:pt>
                  <c:pt idx="3">
                    <c:v>Genetic Heritage</c:v>
                  </c:pt>
                  <c:pt idx="4">
                    <c:v>Soil analysis</c:v>
                  </c:pt>
                  <c:pt idx="5">
                    <c:v>Soil management</c:v>
                  </c:pt>
                  <c:pt idx="6">
                    <c:v>Winter grazing</c:v>
                  </c:pt>
                  <c:pt idx="7">
                    <c:v>Erosion</c:v>
                  </c:pt>
                  <c:pt idx="8">
                    <c:v>Cultivation</c:v>
                  </c:pt>
                  <c:pt idx="9">
                    <c:v>NPK balance</c:v>
                  </c:pt>
                  <c:pt idx="10">
                    <c:v>Benchmarking</c:v>
                  </c:pt>
                  <c:pt idx="11">
                    <c:v>Greenhouse gases</c:v>
                  </c:pt>
                  <c:pt idx="12">
                    <c:v>Renewable energy</c:v>
                  </c:pt>
                  <c:pt idx="13">
                    <c:v>Cropland diversity</c:v>
                  </c:pt>
                  <c:pt idx="14">
                    <c:v>Livestock diversity</c:v>
                  </c:pt>
                  <c:pt idx="15">
                    <c:v>Marketing</c:v>
                  </c:pt>
                  <c:pt idx="16">
                    <c:v>On-farm processing</c:v>
                  </c:pt>
                  <c:pt idx="17">
                    <c:v>Woody perennial land area</c:v>
                  </c:pt>
                  <c:pt idx="18">
                    <c:v>Employment</c:v>
                  </c:pt>
                  <c:pt idx="19">
                    <c:v>Skills and knowledge</c:v>
                  </c:pt>
                  <c:pt idx="20">
                    <c:v>Public access</c:v>
                  </c:pt>
                  <c:pt idx="21">
                    <c:v>Human Health Issues</c:v>
                  </c:pt>
                  <c:pt idx="22">
                    <c:v>Financial viability</c:v>
                  </c:pt>
                  <c:pt idx="23">
                    <c:v>Farm resilience</c:v>
                  </c:pt>
                  <c:pt idx="24">
                    <c:v>Staff resources</c:v>
                  </c:pt>
                  <c:pt idx="25">
                    <c:v>Health plan</c:v>
                  </c:pt>
                  <c:pt idx="26">
                    <c:v>Animal health</c:v>
                  </c:pt>
                  <c:pt idx="27">
                    <c:v>Ability to perform natural behaviours</c:v>
                  </c:pt>
                  <c:pt idx="28">
                    <c:v>Housing</c:v>
                  </c:pt>
                  <c:pt idx="29">
                    <c:v>Biosecurity</c:v>
                  </c:pt>
                  <c:pt idx="30">
                    <c:v>Ethics</c:v>
                  </c:pt>
                  <c:pt idx="31">
                    <c:v>Accountability</c:v>
                  </c:pt>
                  <c:pt idx="32">
                    <c:v>Participation</c:v>
                  </c:pt>
                  <c:pt idx="33">
                    <c:v>Rule of law</c:v>
                  </c:pt>
                  <c:pt idx="34">
                    <c:v>Holistic management</c:v>
                  </c:pt>
                </c:lvl>
                <c:lvl>
                  <c:pt idx="0">
                    <c:v>Landscape and heritage</c:v>
                  </c:pt>
                  <c:pt idx="4">
                    <c:v>Soil management</c:v>
                  </c:pt>
                  <c:pt idx="9">
                    <c:v>N  P  K</c:v>
                  </c:pt>
                  <c:pt idx="10">
                    <c:v>Energy and carbon</c:v>
                  </c:pt>
                  <c:pt idx="13">
                    <c:v>Agricultural systems diversity</c:v>
                  </c:pt>
                  <c:pt idx="18">
                    <c:v>Social capital</c:v>
                  </c:pt>
                  <c:pt idx="22">
                    <c:v>Farm business resilience</c:v>
                  </c:pt>
                  <c:pt idx="24">
                    <c:v>Animal health and welfare management</c:v>
                  </c:pt>
                  <c:pt idx="30">
                    <c:v>Governance</c:v>
                  </c:pt>
                </c:lvl>
              </c:multiLvlStrCache>
            </c:multiLvlStrRef>
          </c:cat>
          <c:val>
            <c:numRef>
              <c:f>('Results with livestock'!$C$83:$C$95,'Results with livestock'!$C$96:$C$117)</c:f>
              <c:numCache>
                <c:formatCode>0</c:formatCode>
                <c:ptCount val="35"/>
                <c:pt idx="0">
                  <c:v>0</c:v>
                </c:pt>
                <c:pt idx="1">
                  <c:v>1</c:v>
                </c:pt>
                <c:pt idx="2">
                  <c:v>1</c:v>
                </c:pt>
                <c:pt idx="3">
                  <c:v>0</c:v>
                </c:pt>
                <c:pt idx="4">
                  <c:v>1</c:v>
                </c:pt>
                <c:pt idx="5">
                  <c:v>0</c:v>
                </c:pt>
                <c:pt idx="6">
                  <c:v>0</c:v>
                </c:pt>
                <c:pt idx="7">
                  <c:v>5</c:v>
                </c:pt>
                <c:pt idx="8">
                  <c:v>0</c:v>
                </c:pt>
                <c:pt idx="9">
                  <c:v>0</c:v>
                </c:pt>
                <c:pt idx="10">
                  <c:v>0</c:v>
                </c:pt>
                <c:pt idx="11">
                  <c:v>5</c:v>
                </c:pt>
                <c:pt idx="12">
                  <c:v>0</c:v>
                </c:pt>
                <c:pt idx="13">
                  <c:v>0</c:v>
                </c:pt>
                <c:pt idx="14">
                  <c:v>0</c:v>
                </c:pt>
                <c:pt idx="15">
                  <c:v>1</c:v>
                </c:pt>
                <c:pt idx="16">
                  <c:v>1</c:v>
                </c:pt>
                <c:pt idx="17">
                  <c:v>0</c:v>
                </c:pt>
                <c:pt idx="18">
                  <c:v>0</c:v>
                </c:pt>
                <c:pt idx="19">
                  <c:v>1</c:v>
                </c:pt>
                <c:pt idx="20">
                  <c:v>1</c:v>
                </c:pt>
                <c:pt idx="21">
                  <c:v>1</c:v>
                </c:pt>
                <c:pt idx="22">
                  <c:v>1</c:v>
                </c:pt>
                <c:pt idx="23">
                  <c:v>1</c:v>
                </c:pt>
                <c:pt idx="24">
                  <c:v>0</c:v>
                </c:pt>
                <c:pt idx="25">
                  <c:v>0</c:v>
                </c:pt>
                <c:pt idx="26">
                  <c:v>0</c:v>
                </c:pt>
                <c:pt idx="27">
                  <c:v>0</c:v>
                </c:pt>
                <c:pt idx="28">
                  <c:v>0</c:v>
                </c:pt>
                <c:pt idx="29">
                  <c:v>0</c:v>
                </c:pt>
                <c:pt idx="30">
                  <c:v>1</c:v>
                </c:pt>
                <c:pt idx="31">
                  <c:v>1</c:v>
                </c:pt>
                <c:pt idx="32">
                  <c:v>1</c:v>
                </c:pt>
                <c:pt idx="33">
                  <c:v>1</c:v>
                </c:pt>
                <c:pt idx="34">
                  <c:v>0</c:v>
                </c:pt>
              </c:numCache>
            </c:numRef>
          </c:val>
          <c:extLst>
            <c:ext xmlns:c16="http://schemas.microsoft.com/office/drawing/2014/chart" uri="{C3380CC4-5D6E-409C-BE32-E72D297353CC}">
              <c16:uniqueId val="{00000000-9F85-4C89-A88E-788330A9D143}"/>
            </c:ext>
          </c:extLst>
        </c:ser>
        <c:dLbls>
          <c:showLegendKey val="0"/>
          <c:showVal val="0"/>
          <c:showCatName val="0"/>
          <c:showSerName val="0"/>
          <c:showPercent val="0"/>
          <c:showBubbleSize val="0"/>
        </c:dLbls>
        <c:gapWidth val="150"/>
        <c:axId val="412907776"/>
        <c:axId val="412925952"/>
      </c:barChart>
      <c:catAx>
        <c:axId val="412907776"/>
        <c:scaling>
          <c:orientation val="minMax"/>
        </c:scaling>
        <c:delete val="0"/>
        <c:axPos val="l"/>
        <c:title>
          <c:overlay val="0"/>
        </c:title>
        <c:numFmt formatCode="General" sourceLinked="0"/>
        <c:majorTickMark val="out"/>
        <c:minorTickMark val="none"/>
        <c:tickLblPos val="nextTo"/>
        <c:txPr>
          <a:bodyPr/>
          <a:lstStyle/>
          <a:p>
            <a:pPr>
              <a:defRPr sz="1100"/>
            </a:pPr>
            <a:endParaRPr lang="en-US"/>
          </a:p>
        </c:txPr>
        <c:crossAx val="412925952"/>
        <c:crosses val="autoZero"/>
        <c:auto val="1"/>
        <c:lblAlgn val="ctr"/>
        <c:lblOffset val="100"/>
        <c:noMultiLvlLbl val="0"/>
      </c:catAx>
      <c:valAx>
        <c:axId val="412925952"/>
        <c:scaling>
          <c:orientation val="minMax"/>
          <c:max val="5"/>
          <c:min val="0"/>
        </c:scaling>
        <c:delete val="0"/>
        <c:axPos val="b"/>
        <c:majorGridlines/>
        <c:title>
          <c:tx>
            <c:rich>
              <a:bodyPr/>
              <a:lstStyle/>
              <a:p>
                <a:pPr>
                  <a:defRPr sz="1400"/>
                </a:pPr>
                <a:r>
                  <a:rPr lang="en-US" sz="1400"/>
                  <a:t>SCORE</a:t>
                </a:r>
              </a:p>
            </c:rich>
          </c:tx>
          <c:overlay val="0"/>
        </c:title>
        <c:numFmt formatCode="General" sourceLinked="0"/>
        <c:majorTickMark val="out"/>
        <c:minorTickMark val="none"/>
        <c:tickLblPos val="nextTo"/>
        <c:txPr>
          <a:bodyPr/>
          <a:lstStyle/>
          <a:p>
            <a:pPr>
              <a:defRPr sz="1200" b="1"/>
            </a:pPr>
            <a:endParaRPr lang="en-US"/>
          </a:p>
        </c:txPr>
        <c:crossAx val="412907776"/>
        <c:crosses val="autoZero"/>
        <c:crossBetween val="between"/>
        <c:majorUnit val="1"/>
      </c:valAx>
    </c:plotArea>
    <c:plotVisOnly val="1"/>
    <c:dispBlanksAs val="gap"/>
    <c:showDLblsOverMax val="0"/>
  </c:chart>
  <c:spPr>
    <a:ln>
      <a:noFill/>
    </a:ln>
  </c:spPr>
  <c:txPr>
    <a:bodyPr/>
    <a:lstStyle/>
    <a:p>
      <a:pPr>
        <a:defRPr sz="8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30001931178739"/>
          <c:y val="0.12188047477446157"/>
          <c:w val="0.67805642409716649"/>
          <c:h val="0.79209919670629747"/>
        </c:manualLayout>
      </c:layout>
      <c:radarChart>
        <c:radarStyle val="marker"/>
        <c:varyColors val="0"/>
        <c:ser>
          <c:idx val="0"/>
          <c:order val="0"/>
          <c:dLbls>
            <c:spPr>
              <a:noFill/>
              <a:ln>
                <a:noFill/>
              </a:ln>
              <a:effectLst/>
            </c:spPr>
            <c:txPr>
              <a:bodyPr wrap="square" lIns="38100" tIns="19050" rIns="38100" bIns="19050" anchor="ctr">
                <a:spAutoFit/>
              </a:bodyPr>
              <a:lstStyle/>
              <a:p>
                <a:pPr>
                  <a:defRPr sz="1200" b="1"/>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cat>
            <c:strRef>
              <c:f>'Results without livestock'!$A$48:$A$55</c:f>
              <c:strCache>
                <c:ptCount val="8"/>
                <c:pt idx="0">
                  <c:v>Landscape and heritage features</c:v>
                </c:pt>
                <c:pt idx="1">
                  <c:v>Soil management</c:v>
                </c:pt>
                <c:pt idx="2">
                  <c:v>Energy and carbon</c:v>
                </c:pt>
                <c:pt idx="3">
                  <c:v>Agricultural systems diversity</c:v>
                </c:pt>
                <c:pt idx="4">
                  <c:v>NPK balance</c:v>
                </c:pt>
                <c:pt idx="5">
                  <c:v>Social capital</c:v>
                </c:pt>
                <c:pt idx="6">
                  <c:v>Farm business resilience</c:v>
                </c:pt>
                <c:pt idx="7">
                  <c:v>Governance</c:v>
                </c:pt>
              </c:strCache>
            </c:strRef>
          </c:cat>
          <c:val>
            <c:numRef>
              <c:f>'Results without livestock'!$B$48:$B$55</c:f>
              <c:numCache>
                <c:formatCode>0.0</c:formatCode>
                <c:ptCount val="8"/>
                <c:pt idx="0">
                  <c:v>1</c:v>
                </c:pt>
                <c:pt idx="1">
                  <c:v>3</c:v>
                </c:pt>
                <c:pt idx="2">
                  <c:v>5</c:v>
                </c:pt>
                <c:pt idx="3">
                  <c:v>1</c:v>
                </c:pt>
                <c:pt idx="4">
                  <c:v>0</c:v>
                </c:pt>
                <c:pt idx="5">
                  <c:v>1</c:v>
                </c:pt>
                <c:pt idx="6">
                  <c:v>1</c:v>
                </c:pt>
                <c:pt idx="7">
                  <c:v>1</c:v>
                </c:pt>
              </c:numCache>
            </c:numRef>
          </c:val>
          <c:extLst>
            <c:ext xmlns:c16="http://schemas.microsoft.com/office/drawing/2014/chart" uri="{C3380CC4-5D6E-409C-BE32-E72D297353CC}">
              <c16:uniqueId val="{00000007-9D08-4E7C-9CDB-30101FCFD4D4}"/>
            </c:ext>
          </c:extLst>
        </c:ser>
        <c:dLbls>
          <c:showLegendKey val="0"/>
          <c:showVal val="1"/>
          <c:showCatName val="0"/>
          <c:showSerName val="0"/>
          <c:showPercent val="0"/>
          <c:showBubbleSize val="0"/>
        </c:dLbls>
        <c:axId val="383246720"/>
        <c:axId val="383249408"/>
      </c:radarChart>
      <c:catAx>
        <c:axId val="383246720"/>
        <c:scaling>
          <c:orientation val="minMax"/>
        </c:scaling>
        <c:delete val="1"/>
        <c:axPos val="b"/>
        <c:majorGridlines/>
        <c:numFmt formatCode="0.00" sourceLinked="0"/>
        <c:majorTickMark val="none"/>
        <c:minorTickMark val="none"/>
        <c:tickLblPos val="none"/>
        <c:crossAx val="383249408"/>
        <c:crosses val="autoZero"/>
        <c:auto val="1"/>
        <c:lblAlgn val="ctr"/>
        <c:lblOffset val="100"/>
        <c:noMultiLvlLbl val="0"/>
      </c:catAx>
      <c:valAx>
        <c:axId val="383249408"/>
        <c:scaling>
          <c:orientation val="minMax"/>
          <c:max val="5"/>
        </c:scaling>
        <c:delete val="0"/>
        <c:axPos val="l"/>
        <c:majorGridlines/>
        <c:numFmt formatCode="0.0" sourceLinked="1"/>
        <c:majorTickMark val="out"/>
        <c:minorTickMark val="none"/>
        <c:tickLblPos val="nextTo"/>
        <c:crossAx val="383246720"/>
        <c:crosses val="autoZero"/>
        <c:crossBetween val="between"/>
      </c:valAx>
      <c:spPr>
        <a:gradFill>
          <a:gsLst>
            <a:gs pos="69172">
              <a:srgbClr val="00B050"/>
            </a:gs>
            <a:gs pos="7000">
              <a:srgbClr val="FF0000"/>
            </a:gs>
            <a:gs pos="26000">
              <a:srgbClr val="FFC000"/>
            </a:gs>
            <a:gs pos="51000">
              <a:srgbClr val="00B050"/>
            </a:gs>
            <a:gs pos="46000">
              <a:srgbClr val="FFC000"/>
            </a:gs>
            <a:gs pos="73000">
              <a:schemeClr val="bg1"/>
            </a:gs>
          </a:gsLst>
          <a:path path="circle">
            <a:fillToRect l="50000" t="50000" r="50000" b="50000"/>
          </a:path>
        </a:gradFill>
      </c:spPr>
    </c:plotArea>
    <c:plotVisOnly val="1"/>
    <c:dispBlanksAs val="gap"/>
    <c:showDLblsOverMax val="0"/>
  </c:chart>
  <c:spPr>
    <a:ln>
      <a:noFill/>
    </a:ln>
  </c:spPr>
  <c:printSettings>
    <c:headerFooter/>
    <c:pageMargins b="0.74803149606300123" l="0.70866141732284438" r="0.70866141732284438" t="0.74803149606300123" header="0.31496062992126761" footer="0.31496062992126761"/>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6031760713764756"/>
          <c:y val="1.5393282575989478E-2"/>
          <c:w val="0.39830248407835545"/>
          <c:h val="0.93040431111776856"/>
        </c:manualLayout>
      </c:layout>
      <c:barChart>
        <c:barDir val="bar"/>
        <c:grouping val="clustered"/>
        <c:varyColors val="0"/>
        <c:ser>
          <c:idx val="0"/>
          <c:order val="0"/>
          <c:invertIfNegative val="0"/>
          <c:cat>
            <c:multiLvlStrRef>
              <c:f>('Results without livestock'!$A$82:$B$94,'Results without livestock'!$A$95:$B$110)</c:f>
              <c:multiLvlStrCache>
                <c:ptCount val="29"/>
                <c:lvl>
                  <c:pt idx="0">
                    <c:v>Historic features</c:v>
                  </c:pt>
                  <c:pt idx="1">
                    <c:v>Landscape management</c:v>
                  </c:pt>
                  <c:pt idx="2">
                    <c:v>Management of boundaries</c:v>
                  </c:pt>
                  <c:pt idx="3">
                    <c:v>Genetic Heritage</c:v>
                  </c:pt>
                  <c:pt idx="4">
                    <c:v>Soil analysis</c:v>
                  </c:pt>
                  <c:pt idx="5">
                    <c:v>Soil management</c:v>
                  </c:pt>
                  <c:pt idx="6">
                    <c:v>Winter grazing</c:v>
                  </c:pt>
                  <c:pt idx="7">
                    <c:v>Erosion</c:v>
                  </c:pt>
                  <c:pt idx="8">
                    <c:v>Cultivation</c:v>
                  </c:pt>
                  <c:pt idx="9">
                    <c:v>NPK balance</c:v>
                  </c:pt>
                  <c:pt idx="10">
                    <c:v>Benchmarking</c:v>
                  </c:pt>
                  <c:pt idx="11">
                    <c:v>Greenhouse gases</c:v>
                  </c:pt>
                  <c:pt idx="12">
                    <c:v>Renewable energy</c:v>
                  </c:pt>
                  <c:pt idx="13">
                    <c:v>Cropland diversity</c:v>
                  </c:pt>
                  <c:pt idx="14">
                    <c:v>Livestock diversity</c:v>
                  </c:pt>
                  <c:pt idx="15">
                    <c:v>Marketing</c:v>
                  </c:pt>
                  <c:pt idx="16">
                    <c:v>On-farm processing</c:v>
                  </c:pt>
                  <c:pt idx="17">
                    <c:v>Woody perennial land area</c:v>
                  </c:pt>
                  <c:pt idx="18">
                    <c:v>Employment</c:v>
                  </c:pt>
                  <c:pt idx="19">
                    <c:v>Skills and knowledge</c:v>
                  </c:pt>
                  <c:pt idx="20">
                    <c:v>Public access</c:v>
                  </c:pt>
                  <c:pt idx="21">
                    <c:v>Human Health Issues</c:v>
                  </c:pt>
                  <c:pt idx="22">
                    <c:v>Financial viability</c:v>
                  </c:pt>
                  <c:pt idx="23">
                    <c:v>Farm resilience</c:v>
                  </c:pt>
                  <c:pt idx="24">
                    <c:v>Ethics</c:v>
                  </c:pt>
                  <c:pt idx="25">
                    <c:v>Accountability</c:v>
                  </c:pt>
                  <c:pt idx="26">
                    <c:v>Participation</c:v>
                  </c:pt>
                  <c:pt idx="27">
                    <c:v>Rule of law</c:v>
                  </c:pt>
                  <c:pt idx="28">
                    <c:v>Holistic management</c:v>
                  </c:pt>
                </c:lvl>
                <c:lvl>
                  <c:pt idx="0">
                    <c:v>Landscape and heritage</c:v>
                  </c:pt>
                  <c:pt idx="4">
                    <c:v>Soil management</c:v>
                  </c:pt>
                  <c:pt idx="9">
                    <c:v>N  P  K</c:v>
                  </c:pt>
                  <c:pt idx="10">
                    <c:v>Energy and carbon</c:v>
                  </c:pt>
                  <c:pt idx="13">
                    <c:v>Agricultural systems diversity</c:v>
                  </c:pt>
                  <c:pt idx="18">
                    <c:v>Social capital</c:v>
                  </c:pt>
                  <c:pt idx="22">
                    <c:v>Farm business resilience</c:v>
                  </c:pt>
                  <c:pt idx="24">
                    <c:v>Governance</c:v>
                  </c:pt>
                </c:lvl>
              </c:multiLvlStrCache>
            </c:multiLvlStrRef>
          </c:cat>
          <c:val>
            <c:numRef>
              <c:f>('Results without livestock'!$C$82:$C$94,'Results without livestock'!$C$95:$C$110)</c:f>
              <c:numCache>
                <c:formatCode>0</c:formatCode>
                <c:ptCount val="29"/>
                <c:pt idx="0">
                  <c:v>0</c:v>
                </c:pt>
                <c:pt idx="1">
                  <c:v>1</c:v>
                </c:pt>
                <c:pt idx="2">
                  <c:v>1</c:v>
                </c:pt>
                <c:pt idx="3">
                  <c:v>0</c:v>
                </c:pt>
                <c:pt idx="4">
                  <c:v>1</c:v>
                </c:pt>
                <c:pt idx="5">
                  <c:v>0</c:v>
                </c:pt>
                <c:pt idx="6">
                  <c:v>0</c:v>
                </c:pt>
                <c:pt idx="7">
                  <c:v>5</c:v>
                </c:pt>
                <c:pt idx="8">
                  <c:v>0</c:v>
                </c:pt>
                <c:pt idx="9">
                  <c:v>0</c:v>
                </c:pt>
                <c:pt idx="10">
                  <c:v>0</c:v>
                </c:pt>
                <c:pt idx="11">
                  <c:v>5</c:v>
                </c:pt>
                <c:pt idx="12">
                  <c:v>0</c:v>
                </c:pt>
                <c:pt idx="13">
                  <c:v>0</c:v>
                </c:pt>
                <c:pt idx="14">
                  <c:v>0</c:v>
                </c:pt>
                <c:pt idx="15">
                  <c:v>1</c:v>
                </c:pt>
                <c:pt idx="16">
                  <c:v>1</c:v>
                </c:pt>
                <c:pt idx="17">
                  <c:v>0</c:v>
                </c:pt>
                <c:pt idx="18">
                  <c:v>0</c:v>
                </c:pt>
                <c:pt idx="19">
                  <c:v>1</c:v>
                </c:pt>
                <c:pt idx="20">
                  <c:v>1</c:v>
                </c:pt>
                <c:pt idx="21">
                  <c:v>1</c:v>
                </c:pt>
                <c:pt idx="22">
                  <c:v>1</c:v>
                </c:pt>
                <c:pt idx="23">
                  <c:v>1</c:v>
                </c:pt>
                <c:pt idx="24">
                  <c:v>1</c:v>
                </c:pt>
                <c:pt idx="25">
                  <c:v>1</c:v>
                </c:pt>
                <c:pt idx="26">
                  <c:v>1</c:v>
                </c:pt>
                <c:pt idx="27">
                  <c:v>1</c:v>
                </c:pt>
                <c:pt idx="28">
                  <c:v>0</c:v>
                </c:pt>
              </c:numCache>
            </c:numRef>
          </c:val>
          <c:extLst>
            <c:ext xmlns:c16="http://schemas.microsoft.com/office/drawing/2014/chart" uri="{C3380CC4-5D6E-409C-BE32-E72D297353CC}">
              <c16:uniqueId val="{00000000-C6D4-40DB-BF82-17CE3885A746}"/>
            </c:ext>
          </c:extLst>
        </c:ser>
        <c:dLbls>
          <c:showLegendKey val="0"/>
          <c:showVal val="0"/>
          <c:showCatName val="0"/>
          <c:showSerName val="0"/>
          <c:showPercent val="0"/>
          <c:showBubbleSize val="0"/>
        </c:dLbls>
        <c:gapWidth val="150"/>
        <c:axId val="412907776"/>
        <c:axId val="412925952"/>
      </c:barChart>
      <c:catAx>
        <c:axId val="412907776"/>
        <c:scaling>
          <c:orientation val="minMax"/>
        </c:scaling>
        <c:delete val="0"/>
        <c:axPos val="l"/>
        <c:numFmt formatCode="General" sourceLinked="0"/>
        <c:majorTickMark val="out"/>
        <c:minorTickMark val="none"/>
        <c:tickLblPos val="nextTo"/>
        <c:txPr>
          <a:bodyPr/>
          <a:lstStyle/>
          <a:p>
            <a:pPr>
              <a:defRPr sz="1100"/>
            </a:pPr>
            <a:endParaRPr lang="en-US"/>
          </a:p>
        </c:txPr>
        <c:crossAx val="412925952"/>
        <c:crosses val="autoZero"/>
        <c:auto val="1"/>
        <c:lblAlgn val="ctr"/>
        <c:lblOffset val="100"/>
        <c:noMultiLvlLbl val="0"/>
      </c:catAx>
      <c:valAx>
        <c:axId val="412925952"/>
        <c:scaling>
          <c:orientation val="minMax"/>
          <c:max val="5"/>
          <c:min val="0"/>
        </c:scaling>
        <c:delete val="0"/>
        <c:axPos val="b"/>
        <c:majorGridlines/>
        <c:title>
          <c:tx>
            <c:rich>
              <a:bodyPr/>
              <a:lstStyle/>
              <a:p>
                <a:pPr>
                  <a:defRPr sz="1100"/>
                </a:pPr>
                <a:r>
                  <a:rPr lang="en-US" sz="1100"/>
                  <a:t>SCORE</a:t>
                </a:r>
              </a:p>
            </c:rich>
          </c:tx>
          <c:overlay val="0"/>
        </c:title>
        <c:numFmt formatCode="0" sourceLinked="0"/>
        <c:majorTickMark val="out"/>
        <c:minorTickMark val="none"/>
        <c:tickLblPos val="nextTo"/>
        <c:txPr>
          <a:bodyPr/>
          <a:lstStyle/>
          <a:p>
            <a:pPr>
              <a:defRPr sz="1200" b="1"/>
            </a:pPr>
            <a:endParaRPr lang="en-US"/>
          </a:p>
        </c:txPr>
        <c:crossAx val="412907776"/>
        <c:crosses val="autoZero"/>
        <c:crossBetween val="between"/>
        <c:majorUnit val="1"/>
      </c:valAx>
    </c:plotArea>
    <c:plotVisOnly val="1"/>
    <c:dispBlanksAs val="gap"/>
    <c:showDLblsOverMax val="0"/>
  </c:chart>
  <c:spPr>
    <a:ln>
      <a:noFill/>
    </a:ln>
  </c:spPr>
  <c:txPr>
    <a:bodyPr/>
    <a:lstStyle/>
    <a:p>
      <a:pPr>
        <a:defRPr sz="8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hyperlink" Target="#'Results without livestock'!A1"/><Relationship Id="rId3" Type="http://schemas.openxmlformats.org/officeDocument/2006/relationships/image" Target="../media/image1.jpeg"/><Relationship Id="rId7"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jpeg"/><Relationship Id="rId7" Type="http://schemas.openxmlformats.org/officeDocument/2006/relationships/image" Target="../media/image8.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7436</xdr:colOff>
      <xdr:row>5</xdr:row>
      <xdr:rowOff>5018</xdr:rowOff>
    </xdr:from>
    <xdr:to>
      <xdr:col>11</xdr:col>
      <xdr:colOff>395021</xdr:colOff>
      <xdr:row>49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25150" y="1229661"/>
          <a:ext cx="5857657" cy="8376982"/>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spcBef>
              <a:spcPts val="1200"/>
            </a:spcBef>
            <a:spcAft>
              <a:spcPts val="300"/>
            </a:spcAft>
          </a:pPr>
          <a:r>
            <a:rPr lang="en-GB" sz="1200" b="1" i="1">
              <a:effectLst/>
              <a:latin typeface="Calibri Light" panose="020F0302020204030204" pitchFamily="34" charset="0"/>
              <a:ea typeface="Times New Roman" panose="02020603050405020304" pitchFamily="18" charset="0"/>
              <a:cs typeface="Times New Roman" panose="02020603050405020304" pitchFamily="18" charset="0"/>
            </a:rPr>
            <a:t>What is it?</a:t>
          </a:r>
        </a:p>
        <a:p>
          <a:pPr>
            <a:spcAft>
              <a:spcPts val="0"/>
            </a:spcAft>
          </a:pPr>
          <a:r>
            <a:rPr lang="en-GB" sz="1100" b="1">
              <a:effectLst/>
              <a:latin typeface="Calibri" panose="020F0502020204030204" pitchFamily="34" charset="0"/>
              <a:ea typeface="Times New Roman" panose="02020603050405020304" pitchFamily="18" charset="0"/>
              <a:cs typeface="Times New Roman" panose="02020603050405020304" pitchFamily="18" charset="0"/>
            </a:rPr>
            <a:t>It´s a sustainability assessment for farms that combine food and non-food production</a:t>
          </a:r>
          <a:endParaRPr lang="en-GB" sz="1100">
            <a:effectLst/>
            <a:latin typeface="Calibri" panose="020F0502020204030204" pitchFamily="34" charset="0"/>
            <a:ea typeface="Times New Roman" panose="02020603050405020304" pitchFamily="18" charset="0"/>
            <a:cs typeface="Times New Roman" panose="02020603050405020304" pitchFamily="18" charset="0"/>
          </a:endParaRPr>
        </a:p>
        <a:p>
          <a:pPr algn="just">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SustainFARM Public Goods Tool helps farmers assess the sustainability of their farming system within a 12-month period. It can also be used as a decision support tool for farmers and land managers, to help them to identify possible impacts of changing the system on performance across the full range of sustainability indictors. </a:t>
          </a:r>
        </a:p>
        <a:p>
          <a:pPr algn="just">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 </a:t>
          </a:r>
        </a:p>
        <a:p>
          <a:pPr algn="just">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assessment takes a broad approach, using information that a farmer would have in their farm records already. It takes between 30 minutes and an hour to complete, depending on the complexity of the farm. It assesses a farm on a number of areas (spurs) which may be impacted by agricultural management practices and are related to public goods such as water quality, air quality, etc. </a:t>
          </a:r>
        </a:p>
        <a:p>
          <a:pPr>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 </a:t>
          </a:r>
        </a:p>
        <a:p>
          <a:pPr>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These “spurs” are: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Soil management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Landscape and heritage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NPK balance</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Energy and carbon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Food security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Agricultural systems diversity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Social capital</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Farm business resilience </a:t>
          </a:r>
        </a:p>
        <a:p>
          <a:pPr marL="342900" lvl="0" indent="-342900">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Animal health and welfare management.</a:t>
          </a:r>
        </a:p>
        <a:p>
          <a:pPr marL="342900" lvl="0" indent="-342900">
            <a:lnSpc>
              <a:spcPct val="115000"/>
            </a:lnSpc>
            <a:spcAft>
              <a:spcPts val="100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Governance </a:t>
          </a:r>
        </a:p>
        <a:p>
          <a:pPr>
            <a:spcAft>
              <a:spcPts val="0"/>
            </a:spcAft>
          </a:pPr>
          <a:br>
            <a:rPr lang="en-GB" sz="1100">
              <a:effectLst/>
              <a:latin typeface="Calibri" panose="020F0502020204030204" pitchFamily="34" charset="0"/>
              <a:ea typeface="Times New Roman" panose="02020603050405020304" pitchFamily="18" charset="0"/>
              <a:cs typeface="Times New Roman" panose="02020603050405020304" pitchFamily="18" charset="0"/>
            </a:rPr>
          </a:br>
          <a:r>
            <a:rPr lang="en-GB" sz="1100">
              <a:effectLst/>
              <a:latin typeface="Calibri" panose="020F0502020204030204" pitchFamily="34" charset="0"/>
              <a:ea typeface="Times New Roman" panose="02020603050405020304" pitchFamily="18" charset="0"/>
              <a:cs typeface="Times New Roman" panose="02020603050405020304" pitchFamily="18" charset="0"/>
            </a:rPr>
            <a:t>Each spur is assessed by asking questions based on a number of key “activities”. Answers are scored on a scale between 1 (poor) and 5 (excellent) and an overall score given for each spur. Results are captured on a radar diagram (Fig. 1) to give an instant visual overview of the sustainability of the farm.</a:t>
          </a:r>
        </a:p>
        <a:p>
          <a:pPr algn="just">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 </a:t>
          </a:r>
        </a:p>
        <a:p>
          <a:pPr algn="just">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Farmers can also use the tool to investigate the effects of changing or introducing new practices or management to the farm on the sustainability indicators.</a:t>
          </a:r>
        </a:p>
        <a:p>
          <a:pPr>
            <a:spcBef>
              <a:spcPts val="1200"/>
            </a:spcBef>
            <a:spcAft>
              <a:spcPts val="300"/>
            </a:spcAft>
          </a:pPr>
          <a:r>
            <a:rPr lang="en-GB" sz="1200" b="1" i="1">
              <a:effectLst/>
              <a:latin typeface="Calibri Light" panose="020F0302020204030204" pitchFamily="34" charset="0"/>
              <a:ea typeface="Times New Roman" panose="02020603050405020304" pitchFamily="18" charset="0"/>
              <a:cs typeface="Times New Roman" panose="02020603050405020304" pitchFamily="18" charset="0"/>
            </a:rPr>
            <a:t>Who is it for?</a:t>
          </a: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Tool can be used on farms in Europe of all sizes that produce food (crops, livestock, vegetables, fruit, olives) and non-food (timber and woodfuel) products. </a:t>
          </a:r>
        </a:p>
        <a:p>
          <a:pPr marL="342900" lvl="0" indent="-342900" algn="just">
            <a:lnSpc>
              <a:spcPct val="115000"/>
            </a:lnSpc>
            <a:spcAft>
              <a:spcPts val="100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Tool can be used by farmers, land managers, advisors and anyone else with an interest in the sustainability of a particular farm and access to information on yields, fuel use and management. </a:t>
          </a: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effectLst/>
              <a:latin typeface="+mn-lt"/>
              <a:ea typeface="+mn-ea"/>
              <a:cs typeface="+mn-cs"/>
            </a:rPr>
            <a:t>Reference: </a:t>
          </a:r>
          <a:endParaRPr lang="en-GB" sz="1100" b="1" i="0" u="none" strike="noStrik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i="0" u="none" strike="noStrike">
              <a:solidFill>
                <a:schemeClr val="dk1"/>
              </a:solidFill>
              <a:effectLst/>
              <a:latin typeface="+mn-lt"/>
              <a:ea typeface="+mn-ea"/>
              <a:cs typeface="+mn-cs"/>
            </a:rPr>
            <a:t>For information on or questions regarding the Public Goods tool please contact:</a:t>
          </a:r>
          <a:r>
            <a:rPr lang="en-GB"/>
            <a:t> </a:t>
          </a:r>
        </a:p>
        <a:p>
          <a:pPr marL="0" marR="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Jo Smith </a:t>
          </a:r>
          <a:r>
            <a:rPr lang="en-GB"/>
            <a:t> </a:t>
          </a:r>
          <a:r>
            <a:rPr lang="en-GB" sz="1100" b="0" i="0" u="sng" strike="noStrike">
              <a:solidFill>
                <a:schemeClr val="dk1"/>
              </a:solidFill>
              <a:effectLst/>
              <a:latin typeface="+mn-lt"/>
              <a:ea typeface="+mn-ea"/>
              <a:cs typeface="+mn-cs"/>
              <a:hlinkClick xmlns:r="http://schemas.openxmlformats.org/officeDocument/2006/relationships" r:id=""/>
            </a:rPr>
            <a:t>jo.s@organicresearchcentre.com</a:t>
          </a:r>
          <a:r>
            <a:rPr lang="en-GB"/>
            <a:t> </a:t>
          </a:r>
        </a:p>
        <a:p>
          <a:pPr marL="0" marR="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or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0" marR="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Samantha Mullender</a:t>
          </a:r>
          <a:r>
            <a:rPr lang="en-GB"/>
            <a:t> </a:t>
          </a:r>
          <a:r>
            <a:rPr lang="en-GB" sz="1100" b="0" i="0" u="sng" strike="noStrike">
              <a:solidFill>
                <a:schemeClr val="dk1"/>
              </a:solidFill>
              <a:effectLst/>
              <a:latin typeface="+mn-lt"/>
              <a:ea typeface="+mn-ea"/>
              <a:cs typeface="+mn-cs"/>
              <a:hlinkClick xmlns:r="http://schemas.openxmlformats.org/officeDocument/2006/relationships" r:id=""/>
            </a:rPr>
            <a:t>samantha.m@organicresearchcentre.com</a:t>
          </a:r>
          <a:r>
            <a:rPr lang="en-GB"/>
            <a:t> </a:t>
          </a:r>
          <a:endParaRPr lang="en-US"/>
        </a:p>
      </xdr:txBody>
    </xdr:sp>
    <xdr:clientData/>
  </xdr:twoCellAnchor>
  <xdr:twoCellAnchor editAs="oneCell">
    <xdr:from>
      <xdr:col>0</xdr:col>
      <xdr:colOff>66675</xdr:colOff>
      <xdr:row>0</xdr:row>
      <xdr:rowOff>66675</xdr:rowOff>
    </xdr:from>
    <xdr:to>
      <xdr:col>3</xdr:col>
      <xdr:colOff>272143</xdr:colOff>
      <xdr:row>4</xdr:row>
      <xdr:rowOff>136071</xdr:rowOff>
    </xdr:to>
    <xdr:pic>
      <xdr:nvPicPr>
        <xdr:cNvPr id="5" name="Picture 4">
          <a:extLst>
            <a:ext uri="{FF2B5EF4-FFF2-40B4-BE49-F238E27FC236}">
              <a16:creationId xmlns:a16="http://schemas.microsoft.com/office/drawing/2014/main" id="{A5C48346-79F7-4F39-A012-AD517F1D138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66675" y="66675"/>
          <a:ext cx="1171575" cy="110353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571501</xdr:colOff>
      <xdr:row>16</xdr:row>
      <xdr:rowOff>163286</xdr:rowOff>
    </xdr:from>
    <xdr:to>
      <xdr:col>10</xdr:col>
      <xdr:colOff>506364</xdr:colOff>
      <xdr:row>29</xdr:row>
      <xdr:rowOff>13607</xdr:rowOff>
    </xdr:to>
    <xdr:pic>
      <xdr:nvPicPr>
        <xdr:cNvPr id="9" name="Picture 8">
          <a:extLst>
            <a:ext uri="{FF2B5EF4-FFF2-40B4-BE49-F238E27FC236}">
              <a16:creationId xmlns:a16="http://schemas.microsoft.com/office/drawing/2014/main" id="{796407F5-28F6-49D8-8C64-B4C711EC1688}"/>
            </a:ext>
          </a:extLst>
        </xdr:cNvPr>
        <xdr:cNvPicPr>
          <a:picLocks noChangeAspect="1"/>
        </xdr:cNvPicPr>
      </xdr:nvPicPr>
      <xdr:blipFill rotWithShape="1">
        <a:blip xmlns:r="http://schemas.openxmlformats.org/officeDocument/2006/relationships" r:embed="rId2"/>
        <a:srcRect b="4663"/>
        <a:stretch/>
      </xdr:blipFill>
      <xdr:spPr>
        <a:xfrm>
          <a:off x="3333751" y="3483429"/>
          <a:ext cx="2275292" cy="2326821"/>
        </a:xfrm>
        <a:prstGeom prst="rect">
          <a:avLst/>
        </a:prstGeom>
      </xdr:spPr>
    </xdr:pic>
    <xdr:clientData/>
  </xdr:twoCellAnchor>
  <xdr:twoCellAnchor>
    <xdr:from>
      <xdr:col>12</xdr:col>
      <xdr:colOff>40821</xdr:colOff>
      <xdr:row>4</xdr:row>
      <xdr:rowOff>176893</xdr:rowOff>
    </xdr:from>
    <xdr:to>
      <xdr:col>20</xdr:col>
      <xdr:colOff>319550</xdr:colOff>
      <xdr:row>42</xdr:row>
      <xdr:rowOff>68036</xdr:rowOff>
    </xdr:to>
    <xdr:sp macro="" textlink="">
      <xdr:nvSpPr>
        <xdr:cNvPr id="10" name="TextBox 9">
          <a:extLst>
            <a:ext uri="{FF2B5EF4-FFF2-40B4-BE49-F238E27FC236}">
              <a16:creationId xmlns:a16="http://schemas.microsoft.com/office/drawing/2014/main" id="{E5066BB1-936B-4D83-8350-5EC1FBAC2FB4}"/>
            </a:ext>
          </a:extLst>
        </xdr:cNvPr>
        <xdr:cNvSpPr txBox="1"/>
      </xdr:nvSpPr>
      <xdr:spPr>
        <a:xfrm>
          <a:off x="6313714" y="1211036"/>
          <a:ext cx="5857657" cy="7130143"/>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spcBef>
              <a:spcPts val="1200"/>
            </a:spcBef>
            <a:spcAft>
              <a:spcPts val="300"/>
            </a:spcAft>
          </a:pPr>
          <a:r>
            <a:rPr lang="en-GB" sz="1100" b="1" i="1">
              <a:effectLst/>
              <a:latin typeface="Calibri Light" panose="020F0302020204030204" pitchFamily="34" charset="0"/>
              <a:ea typeface="Times New Roman" panose="02020603050405020304" pitchFamily="18" charset="0"/>
              <a:cs typeface="Times New Roman" panose="02020603050405020304" pitchFamily="18" charset="0"/>
            </a:rPr>
            <a:t>How do I use it?</a:t>
          </a:r>
          <a:endParaRPr lang="en-GB"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For detailed instructions, download the SustainFARM</a:t>
          </a:r>
          <a:r>
            <a:rPr lang="en-GB" sz="1100" baseline="0">
              <a:effectLst/>
              <a:latin typeface="Calibri" panose="020F0502020204030204" pitchFamily="34" charset="0"/>
              <a:ea typeface="Times New Roman" panose="02020603050405020304" pitchFamily="18" charset="0"/>
              <a:cs typeface="Times New Roman" panose="02020603050405020304" pitchFamily="18" charset="0"/>
            </a:rPr>
            <a:t> PG Tool instruction manual.</a:t>
          </a:r>
          <a:endParaRPr lang="en-GB"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Tool consists of a series of sheets that should be worked through consecutively from left to right. </a:t>
          </a: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a:t>
          </a:r>
          <a:r>
            <a:rPr lang="en-GB" sz="1100" baseline="0">
              <a:effectLst/>
              <a:latin typeface="Calibri" panose="020F0502020204030204" pitchFamily="34" charset="0"/>
              <a:ea typeface="Times New Roman" panose="02020603050405020304" pitchFamily="18" charset="0"/>
              <a:cs typeface="Times New Roman" panose="02020603050405020304" pitchFamily="18" charset="0"/>
            </a:rPr>
            <a:t> </a:t>
          </a:r>
          <a:r>
            <a:rPr lang="en-GB" sz="1100">
              <a:effectLst/>
              <a:latin typeface="Calibri" panose="020F0502020204030204" pitchFamily="34" charset="0"/>
              <a:ea typeface="Times New Roman" panose="02020603050405020304" pitchFamily="18" charset="0"/>
              <a:cs typeface="Times New Roman" panose="02020603050405020304" pitchFamily="18" charset="0"/>
            </a:rPr>
            <a:t>Initial data collection sheet is the most time consuming to complete as it collects detailed data on the farm for a 12-month period but is very important as it supports many calculations carried out elsewhere in the Tool. </a:t>
          </a: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next ten sheets relate to the different spurs; these contain a mixture of questions with answers selected from drop down lists and questions requiring data input. Two sheets require no inputs but show detail on certain aspects of the spurs, e.g. the NPK balance and energy benchmarks.</a:t>
          </a:r>
        </a:p>
        <a:p>
          <a:pPr marL="342900" lvl="0" indent="-342900" algn="just">
            <a:lnSpc>
              <a:spcPct val="115000"/>
            </a:lnSpc>
            <a:spcAft>
              <a:spcPts val="100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 final two sheets on the far right of the Tool contain the results. The first is for farms including livestock; the second for farms without livestock. The spur scores are summarised on a radar diagram, and there is also a detailed bar chart showing the scores of the activities within each spur. A final table captures key elements of interest, including the Land Equivalent Ratio, the NPK balance, energy and CO</a:t>
          </a:r>
          <a:r>
            <a:rPr lang="en-GB" sz="1100" baseline="-25000">
              <a:effectLst/>
              <a:latin typeface="Calibri" panose="020F0502020204030204" pitchFamily="34" charset="0"/>
              <a:ea typeface="Times New Roman" panose="02020603050405020304" pitchFamily="18" charset="0"/>
              <a:cs typeface="Times New Roman" panose="02020603050405020304" pitchFamily="18" charset="0"/>
            </a:rPr>
            <a:t>2</a:t>
          </a:r>
          <a:r>
            <a:rPr lang="en-GB" sz="1100">
              <a:effectLst/>
              <a:latin typeface="Calibri" panose="020F0502020204030204" pitchFamily="34" charset="0"/>
              <a:ea typeface="Times New Roman" panose="02020603050405020304" pitchFamily="18" charset="0"/>
              <a:cs typeface="Times New Roman" panose="02020603050405020304" pitchFamily="18" charset="0"/>
            </a:rPr>
            <a:t> benchmarks and labour use. The results can be printed out and used to demonstrate the sustainability of the farm to other people.</a:t>
          </a:r>
        </a:p>
        <a:p>
          <a:pPr marL="228600" algn="just">
            <a:spcAft>
              <a:spcPts val="0"/>
            </a:spcAft>
          </a:pPr>
          <a:r>
            <a:rPr lang="en-GB" sz="1100" b="1">
              <a:effectLst/>
              <a:latin typeface="Calibri" panose="020F0502020204030204" pitchFamily="34" charset="0"/>
              <a:ea typeface="Times New Roman" panose="02020603050405020304" pitchFamily="18" charset="0"/>
              <a:cs typeface="Times New Roman" panose="02020603050405020304" pitchFamily="18" charset="0"/>
            </a:rPr>
            <a:t>Taking it further….</a:t>
          </a:r>
          <a:endParaRPr lang="en-GB" sz="1100">
            <a:effectLst/>
            <a:latin typeface="Calibri" panose="020F0502020204030204" pitchFamily="34" charset="0"/>
            <a:ea typeface="Times New Roman" panose="02020603050405020304" pitchFamily="18" charset="0"/>
            <a:cs typeface="Times New Roman" panose="02020603050405020304" pitchFamily="18" charset="0"/>
          </a:endParaRP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To investigate the effects on the sustainability indicators of changing or introducing new practices or management to the farm, simply copy the completed assessment as a new file, change the questions relating to the proposed changes and compare the results of the ´before´ and ´after´ scenarios.</a:t>
          </a:r>
        </a:p>
        <a:p>
          <a:pPr marL="342900" lvl="0" indent="-342900" algn="just">
            <a:lnSpc>
              <a:spcPct val="115000"/>
            </a:lnSpc>
            <a:spcAft>
              <a:spcPts val="0"/>
            </a:spcAft>
            <a:buFont typeface="Symbol" panose="05050102010706020507" pitchFamily="18" charset="2"/>
            <a:buChar char=""/>
          </a:pPr>
          <a:r>
            <a:rPr lang="en-GB" sz="1100">
              <a:effectLst/>
              <a:latin typeface="Calibri" panose="020F0502020204030204" pitchFamily="34" charset="0"/>
              <a:ea typeface="Times New Roman" panose="02020603050405020304" pitchFamily="18" charset="0"/>
              <a:cs typeface="Times New Roman" panose="02020603050405020304" pitchFamily="18" charset="0"/>
            </a:rPr>
            <a:t>Results can also be compared with a range of case study farms across Europe.</a:t>
          </a:r>
        </a:p>
        <a:p>
          <a:pPr marL="457200" algn="just">
            <a:lnSpc>
              <a:spcPct val="115000"/>
            </a:lnSpc>
            <a:spcAft>
              <a:spcPts val="0"/>
            </a:spcAft>
          </a:pPr>
          <a:r>
            <a:rPr lang="en-GB" sz="1100">
              <a:effectLst/>
              <a:latin typeface="Calibri" panose="020F0502020204030204" pitchFamily="34" charset="0"/>
              <a:ea typeface="Times New Roman" panose="02020603050405020304" pitchFamily="18" charset="0"/>
              <a:cs typeface="Times New Roman" panose="02020603050405020304" pitchFamily="18" charset="0"/>
            </a:rPr>
            <a:t>These are:</a:t>
          </a:r>
        </a:p>
        <a:p>
          <a:pPr marL="742950" lvl="1" indent="-285750" algn="just">
            <a:lnSpc>
              <a:spcPct val="115000"/>
            </a:lnSpc>
            <a:spcAft>
              <a:spcPts val="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Taastrup experimental farm, Denmark, has a combined food and energy</a:t>
          </a:r>
          <a:r>
            <a:rPr lang="en-US" sz="1100">
              <a:effectLst/>
              <a:latin typeface="Calibri" panose="020F0502020204030204" pitchFamily="34" charset="0"/>
              <a:ea typeface="Calibri" panose="020F0502020204030204" pitchFamily="34" charset="0"/>
              <a:cs typeface="Times New Roman" panose="02020603050405020304" pitchFamily="18" charset="0"/>
            </a:rPr>
            <a:t> system with alleys of cereals separated by biomass belts of short rotation coppice.</a:t>
          </a:r>
          <a:endParaRPr lang="en-GB" sz="1100">
            <a:effectLst/>
            <a:latin typeface="Calibri" panose="020F0502020204030204" pitchFamily="34" charset="0"/>
            <a:ea typeface="Times New Roman" panose="02020603050405020304" pitchFamily="18" charset="0"/>
            <a:cs typeface="Times New Roman" panose="02020603050405020304" pitchFamily="18" charset="0"/>
          </a:endParaRPr>
        </a:p>
        <a:p>
          <a:pPr marL="742950" lvl="1" indent="-285750" algn="just">
            <a:lnSpc>
              <a:spcPct val="115000"/>
            </a:lnSpc>
            <a:spcAft>
              <a:spcPts val="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Il Sasso farm, Italy, an organic farm </a:t>
          </a:r>
          <a:r>
            <a:rPr lang="en-GB" sz="1100">
              <a:effectLst/>
              <a:latin typeface="Calibri" panose="020F0502020204030204" pitchFamily="34" charset="0"/>
              <a:ea typeface="Calibri" panose="020F0502020204030204" pitchFamily="34" charset="0"/>
              <a:cs typeface="Times New Roman" panose="02020603050405020304" pitchFamily="18" charset="0"/>
            </a:rPr>
            <a:t>combining olive groves with sheep grazing for milk production.</a:t>
          </a:r>
          <a:endParaRPr lang="en-GB" sz="1200">
            <a:effectLst/>
            <a:latin typeface="Calibri" panose="020F0502020204030204" pitchFamily="34" charset="0"/>
            <a:ea typeface="Times New Roman" panose="02020603050405020304" pitchFamily="18" charset="0"/>
            <a:cs typeface="Times New Roman" panose="02020603050405020304" pitchFamily="18" charset="0"/>
          </a:endParaRPr>
        </a:p>
        <a:p>
          <a:pPr marL="742950" lvl="1" indent="-285750" algn="just">
            <a:lnSpc>
              <a:spcPct val="115000"/>
            </a:lnSpc>
            <a:spcAft>
              <a:spcPts val="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Top fruit and vegetables farm, Poland, where fruit trees are intercropped with vegetables including tomatoes, paprika, cucumber.</a:t>
          </a:r>
        </a:p>
        <a:p>
          <a:pPr marL="742950" lvl="1" indent="-285750" algn="just">
            <a:lnSpc>
              <a:spcPct val="115000"/>
            </a:lnSpc>
            <a:spcAft>
              <a:spcPts val="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Wójcik farm, Poland, is an organic Limousine beef farm where grassland is mixed with individual trees, hedges and forested land.</a:t>
          </a:r>
        </a:p>
        <a:p>
          <a:pPr marL="742950" lvl="1" indent="-285750" algn="just">
            <a:lnSpc>
              <a:spcPct val="115000"/>
            </a:lnSpc>
            <a:spcAft>
              <a:spcPts val="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Mihalca Farm, Romania, a silvopastoral farm with dairy cattle, pigs and poultry</a:t>
          </a:r>
        </a:p>
        <a:p>
          <a:pPr marL="742950" lvl="1" indent="-285750" algn="just">
            <a:lnSpc>
              <a:spcPct val="115000"/>
            </a:lnSpc>
            <a:spcAft>
              <a:spcPts val="1000"/>
            </a:spcAft>
            <a:buFont typeface="Symbol" panose="05050102010706020507" pitchFamily="18" charset="2"/>
            <a:buBlip>
              <a:blip xmlns:r="http://schemas.openxmlformats.org/officeDocument/2006/relationships" r:embed="rId3"/>
            </a:buBlip>
          </a:pPr>
          <a:r>
            <a:rPr lang="en-GB" sz="1100">
              <a:effectLst/>
              <a:latin typeface="Calibri" panose="020F0502020204030204" pitchFamily="34" charset="0"/>
              <a:ea typeface="Times New Roman" panose="02020603050405020304" pitchFamily="18" charset="0"/>
              <a:cs typeface="Times New Roman" panose="02020603050405020304" pitchFamily="18" charset="0"/>
            </a:rPr>
            <a:t>Wakelyns Agroforestry, UK, a silvoarable system combining short rotation coppice with organic arable crops.</a:t>
          </a:r>
        </a:p>
        <a:p>
          <a:pPr>
            <a:spcBef>
              <a:spcPts val="1200"/>
            </a:spcBef>
            <a:spcAft>
              <a:spcPts val="300"/>
            </a:spcAft>
          </a:pPr>
          <a:endParaRPr lang="en-US"/>
        </a:p>
      </xdr:txBody>
    </xdr:sp>
    <xdr:clientData/>
  </xdr:twoCellAnchor>
  <xdr:twoCellAnchor>
    <xdr:from>
      <xdr:col>12</xdr:col>
      <xdr:colOff>52916</xdr:colOff>
      <xdr:row>42</xdr:row>
      <xdr:rowOff>148167</xdr:rowOff>
    </xdr:from>
    <xdr:to>
      <xdr:col>20</xdr:col>
      <xdr:colOff>317500</xdr:colOff>
      <xdr:row>48</xdr:row>
      <xdr:rowOff>169333</xdr:rowOff>
    </xdr:to>
    <xdr:sp macro="" textlink="">
      <xdr:nvSpPr>
        <xdr:cNvPr id="3" name="TextBox 2">
          <a:extLst>
            <a:ext uri="{FF2B5EF4-FFF2-40B4-BE49-F238E27FC236}">
              <a16:creationId xmlns:a16="http://schemas.microsoft.com/office/drawing/2014/main" id="{814B8611-53F4-4B61-BBAE-AE89C0F24736}"/>
            </a:ext>
          </a:extLst>
        </xdr:cNvPr>
        <xdr:cNvSpPr txBox="1"/>
      </xdr:nvSpPr>
      <xdr:spPr>
        <a:xfrm>
          <a:off x="6392333" y="8424334"/>
          <a:ext cx="5894917" cy="1164166"/>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1"/>
            <a:t>Reference: </a:t>
          </a:r>
          <a:r>
            <a:rPr lang="en-US" sz="1100" b="0" i="0" baseline="0">
              <a:solidFill>
                <a:schemeClr val="dk1"/>
              </a:solidFill>
              <a:effectLst/>
              <a:latin typeface="+mn-lt"/>
              <a:ea typeface="+mn-ea"/>
              <a:cs typeface="+mn-cs"/>
            </a:rPr>
            <a:t>Organic Research Centre (2019) </a:t>
          </a:r>
          <a:r>
            <a:rPr lang="en-US" sz="1100" b="0" i="1" baseline="0">
              <a:solidFill>
                <a:schemeClr val="dk1"/>
              </a:solidFill>
              <a:effectLst/>
              <a:latin typeface="+mn-lt"/>
              <a:ea typeface="+mn-ea"/>
              <a:cs typeface="+mn-cs"/>
            </a:rPr>
            <a:t>The SustainFARM Public Goods Tool v1.0</a:t>
          </a:r>
          <a:r>
            <a:rPr lang="en-US" sz="1100" b="0" i="0" baseline="0">
              <a:solidFill>
                <a:schemeClr val="dk1"/>
              </a:solidFill>
              <a:effectLst/>
              <a:latin typeface="+mn-lt"/>
              <a:ea typeface="+mn-ea"/>
              <a:cs typeface="+mn-cs"/>
            </a:rPr>
            <a:t>.  </a:t>
          </a:r>
          <a:endParaRPr lang="en-GB">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The SustainFARM Public Goods Tool is licensed under the Creative Commons Attribution-NonCommercial-NoDerivatives 4.0 International License (CC BY-NC-ND 4.0). To view a copy of this license visit https://creativecommons.org/licenses/by-nc-nd/4.0/</a:t>
          </a:r>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7</xdr:row>
      <xdr:rowOff>0</xdr:rowOff>
    </xdr:to>
    <xdr:pic>
      <xdr:nvPicPr>
        <xdr:cNvPr id="2" name="Picture 1">
          <a:extLst>
            <a:ext uri="{FF2B5EF4-FFF2-40B4-BE49-F238E27FC236}">
              <a16:creationId xmlns:a16="http://schemas.microsoft.com/office/drawing/2014/main" id="{EA3395C2-7830-4D56-8ADF-0C6449FA16D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400175" cy="13335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1390650</xdr:colOff>
      <xdr:row>0</xdr:row>
      <xdr:rowOff>38100</xdr:rowOff>
    </xdr:from>
    <xdr:to>
      <xdr:col>3</xdr:col>
      <xdr:colOff>438150</xdr:colOff>
      <xdr:row>5</xdr:row>
      <xdr:rowOff>180975</xdr:rowOff>
    </xdr:to>
    <xdr:sp macro="" textlink="">
      <xdr:nvSpPr>
        <xdr:cNvPr id="3" name="TextBox 2">
          <a:extLst>
            <a:ext uri="{FF2B5EF4-FFF2-40B4-BE49-F238E27FC236}">
              <a16:creationId xmlns:a16="http://schemas.microsoft.com/office/drawing/2014/main" id="{F8EFDF3F-4D52-412D-BC2F-E1FA9494D730}"/>
            </a:ext>
          </a:extLst>
        </xdr:cNvPr>
        <xdr:cNvSpPr txBox="1"/>
      </xdr:nvSpPr>
      <xdr:spPr>
        <a:xfrm>
          <a:off x="1390650" y="38100"/>
          <a:ext cx="6010275" cy="10953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Farm</a:t>
          </a:r>
          <a:r>
            <a:rPr lang="en-US" sz="1800" b="1" baseline="0">
              <a:solidFill>
                <a:srgbClr val="92D050"/>
              </a:solidFill>
            </a:rPr>
            <a:t> Business Resilience</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of relating to the financial viability and resilience of your agricultural system; enter data or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6</xdr:col>
      <xdr:colOff>0</xdr:colOff>
      <xdr:row>14</xdr:row>
      <xdr:rowOff>0</xdr:rowOff>
    </xdr:from>
    <xdr:to>
      <xdr:col>8</xdr:col>
      <xdr:colOff>638175</xdr:colOff>
      <xdr:row>23</xdr:row>
      <xdr:rowOff>9525</xdr:rowOff>
    </xdr:to>
    <xdr:pic>
      <xdr:nvPicPr>
        <xdr:cNvPr id="5" name="Picture 4">
          <a:extLst>
            <a:ext uri="{FF2B5EF4-FFF2-40B4-BE49-F238E27FC236}">
              <a16:creationId xmlns:a16="http://schemas.microsoft.com/office/drawing/2014/main" id="{3470D70E-ED13-4470-A03F-868CAC28522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8275" y="3495675"/>
          <a:ext cx="3857625" cy="21050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76199</xdr:colOff>
      <xdr:row>14</xdr:row>
      <xdr:rowOff>60463</xdr:rowOff>
    </xdr:from>
    <xdr:ext cx="2828926" cy="796787"/>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76199" y="3470413"/>
          <a:ext cx="2828926" cy="796787"/>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a:t>1 FTE</a:t>
          </a:r>
          <a:r>
            <a:rPr lang="en-US" sz="1100" baseline="0"/>
            <a:t> is one </a:t>
          </a:r>
          <a:r>
            <a:rPr lang="en-US" sz="1100"/>
            <a:t>employee working 2200 hours per year so if e.g the farmer's</a:t>
          </a:r>
          <a:r>
            <a:rPr lang="en-US" sz="1100" baseline="0"/>
            <a:t> wife does 600 hours per year on the farm then family labour would be 600/2200 = 0.27 FTE</a:t>
          </a:r>
          <a:endParaRPr lang="en-US" sz="1100"/>
        </a:p>
      </xdr:txBody>
    </xdr:sp>
    <xdr:clientData/>
  </xdr:oneCellAnchor>
  <xdr:twoCellAnchor editAs="oneCell">
    <xdr:from>
      <xdr:col>0</xdr:col>
      <xdr:colOff>0</xdr:colOff>
      <xdr:row>0</xdr:row>
      <xdr:rowOff>38100</xdr:rowOff>
    </xdr:from>
    <xdr:to>
      <xdr:col>0</xdr:col>
      <xdr:colOff>1400175</xdr:colOff>
      <xdr:row>7</xdr:row>
      <xdr:rowOff>38100</xdr:rowOff>
    </xdr:to>
    <xdr:pic>
      <xdr:nvPicPr>
        <xdr:cNvPr id="4" name="Picture 3">
          <a:extLst>
            <a:ext uri="{FF2B5EF4-FFF2-40B4-BE49-F238E27FC236}">
              <a16:creationId xmlns:a16="http://schemas.microsoft.com/office/drawing/2014/main" id="{C90E75BB-865E-44C3-BB5C-A51CAFC49DC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38100"/>
          <a:ext cx="1400175" cy="13335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1390650</xdr:colOff>
      <xdr:row>0</xdr:row>
      <xdr:rowOff>76200</xdr:rowOff>
    </xdr:from>
    <xdr:to>
      <xdr:col>2</xdr:col>
      <xdr:colOff>933450</xdr:colOff>
      <xdr:row>7</xdr:row>
      <xdr:rowOff>190500</xdr:rowOff>
    </xdr:to>
    <xdr:sp macro="" textlink="">
      <xdr:nvSpPr>
        <xdr:cNvPr id="5" name="TextBox 4">
          <a:extLst>
            <a:ext uri="{FF2B5EF4-FFF2-40B4-BE49-F238E27FC236}">
              <a16:creationId xmlns:a16="http://schemas.microsoft.com/office/drawing/2014/main" id="{EE35FE6B-50B5-441C-B5E8-3089F54EF83B}"/>
            </a:ext>
          </a:extLst>
        </xdr:cNvPr>
        <xdr:cNvSpPr txBox="1"/>
      </xdr:nvSpPr>
      <xdr:spPr>
        <a:xfrm>
          <a:off x="1390650" y="76200"/>
          <a:ext cx="6648450" cy="1447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Animal</a:t>
          </a:r>
          <a:r>
            <a:rPr lang="en-US" sz="1800" b="1" baseline="0">
              <a:solidFill>
                <a:srgbClr val="92D050"/>
              </a:solidFill>
            </a:rPr>
            <a:t> Health and Welfare Management</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of relating to management of the health and welfare of your livestock. If you don´t have livestock, please go straight to the Governance sheet. </a:t>
          </a:r>
        </a:p>
        <a:p>
          <a:r>
            <a:rPr lang="en-US" sz="1100" i="1" baseline="0">
              <a:solidFill>
                <a:schemeClr val="dk1"/>
              </a:solidFill>
              <a:effectLst/>
              <a:latin typeface="+mn-lt"/>
              <a:ea typeface="+mn-ea"/>
              <a:cs typeface="+mn-cs"/>
            </a:rPr>
            <a:t>Enter data or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6</xdr:col>
      <xdr:colOff>0</xdr:colOff>
      <xdr:row>18</xdr:row>
      <xdr:rowOff>0</xdr:rowOff>
    </xdr:from>
    <xdr:to>
      <xdr:col>8</xdr:col>
      <xdr:colOff>171450</xdr:colOff>
      <xdr:row>27</xdr:row>
      <xdr:rowOff>161925</xdr:rowOff>
    </xdr:to>
    <xdr:pic>
      <xdr:nvPicPr>
        <xdr:cNvPr id="7" name="Picture 6">
          <a:extLst>
            <a:ext uri="{FF2B5EF4-FFF2-40B4-BE49-F238E27FC236}">
              <a16:creationId xmlns:a16="http://schemas.microsoft.com/office/drawing/2014/main" id="{415DA754-D950-463F-AE9E-DCA6E257F43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4467225"/>
          <a:ext cx="3857625" cy="21050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2151529</xdr:colOff>
      <xdr:row>83</xdr:row>
      <xdr:rowOff>0</xdr:rowOff>
    </xdr:from>
    <xdr:to>
      <xdr:col>0</xdr:col>
      <xdr:colOff>4235823</xdr:colOff>
      <xdr:row>85</xdr:row>
      <xdr:rowOff>156883</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2151529" y="21862676"/>
          <a:ext cx="2084294" cy="1075766"/>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Remember: </a:t>
          </a:r>
        </a:p>
        <a:p>
          <a:r>
            <a:rPr lang="en-GB" sz="1100"/>
            <a:t>These results will be anonymised,</a:t>
          </a:r>
          <a:r>
            <a:rPr lang="en-GB" sz="1100" baseline="0"/>
            <a:t> kept strictly confidential </a:t>
          </a:r>
          <a:r>
            <a:rPr lang="en-GB" sz="1100"/>
            <a:t>and that there can be no prosecution on the back of them.  </a:t>
          </a:r>
        </a:p>
      </xdr:txBody>
    </xdr:sp>
    <xdr:clientData/>
  </xdr:twoCellAnchor>
  <xdr:twoCellAnchor>
    <xdr:from>
      <xdr:col>2</xdr:col>
      <xdr:colOff>75592</xdr:colOff>
      <xdr:row>8</xdr:row>
      <xdr:rowOff>237004</xdr:rowOff>
    </xdr:from>
    <xdr:to>
      <xdr:col>4</xdr:col>
      <xdr:colOff>510336</xdr:colOff>
      <xdr:row>11</xdr:row>
      <xdr:rowOff>695325</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6800242" y="1761004"/>
          <a:ext cx="2234969" cy="2001371"/>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Permaculture</a:t>
          </a:r>
          <a:r>
            <a:rPr lang="en-GB" sz="1100" b="1" baseline="0"/>
            <a:t> principles defined in </a:t>
          </a:r>
          <a:endParaRPr lang="en-GB" sz="1100" b="1" i="0" u="none" strike="noStrike" baseline="0">
            <a:solidFill>
              <a:schemeClr val="dk1"/>
            </a:solidFill>
            <a:latin typeface="+mn-lt"/>
            <a:ea typeface="+mn-ea"/>
            <a:cs typeface="+mn-cs"/>
          </a:endParaRPr>
        </a:p>
        <a:p>
          <a:r>
            <a:rPr lang="en-GB" sz="1100" b="1" i="1" u="none" strike="noStrike" baseline="0">
              <a:solidFill>
                <a:schemeClr val="dk1"/>
              </a:solidFill>
              <a:latin typeface="+mn-lt"/>
              <a:ea typeface="+mn-ea"/>
              <a:cs typeface="+mn-cs"/>
            </a:rPr>
            <a:t>Permaculture: A Design Manual  (Mollison, 1988):</a:t>
          </a:r>
        </a:p>
        <a:p>
          <a:endParaRPr lang="en-GB" sz="1100"/>
        </a:p>
        <a:p>
          <a:r>
            <a:rPr lang="en-GB" sz="1100"/>
            <a:t>1. Provision for people to access the resources necessary to their existence; </a:t>
          </a:r>
        </a:p>
        <a:p>
          <a:r>
            <a:rPr lang="en-GB" sz="1100"/>
            <a:t>2. Provision for all life systems to continue and multiply; </a:t>
          </a:r>
        </a:p>
        <a:p>
          <a:r>
            <a:rPr lang="en-GB" sz="1100"/>
            <a:t>3. Living within limits and distributing surplus)</a:t>
          </a:r>
        </a:p>
      </xdr:txBody>
    </xdr:sp>
    <xdr:clientData/>
  </xdr:twoCellAnchor>
  <xdr:twoCellAnchor editAs="oneCell">
    <xdr:from>
      <xdr:col>0</xdr:col>
      <xdr:colOff>0</xdr:colOff>
      <xdr:row>0</xdr:row>
      <xdr:rowOff>19050</xdr:rowOff>
    </xdr:from>
    <xdr:to>
      <xdr:col>0</xdr:col>
      <xdr:colOff>1343025</xdr:colOff>
      <xdr:row>6</xdr:row>
      <xdr:rowOff>114300</xdr:rowOff>
    </xdr:to>
    <xdr:pic>
      <xdr:nvPicPr>
        <xdr:cNvPr id="5" name="Picture 4">
          <a:extLst>
            <a:ext uri="{FF2B5EF4-FFF2-40B4-BE49-F238E27FC236}">
              <a16:creationId xmlns:a16="http://schemas.microsoft.com/office/drawing/2014/main" id="{16FAC6F0-5BE4-4DEB-BCAE-1D7D6A6F301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19050"/>
          <a:ext cx="1343025" cy="12382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1390650</xdr:colOff>
      <xdr:row>0</xdr:row>
      <xdr:rowOff>19050</xdr:rowOff>
    </xdr:from>
    <xdr:to>
      <xdr:col>3</xdr:col>
      <xdr:colOff>95250</xdr:colOff>
      <xdr:row>6</xdr:row>
      <xdr:rowOff>0</xdr:rowOff>
    </xdr:to>
    <xdr:sp macro="" textlink="">
      <xdr:nvSpPr>
        <xdr:cNvPr id="6" name="TextBox 5">
          <a:extLst>
            <a:ext uri="{FF2B5EF4-FFF2-40B4-BE49-F238E27FC236}">
              <a16:creationId xmlns:a16="http://schemas.microsoft.com/office/drawing/2014/main" id="{18087329-6C42-4C64-BA97-15F2E7A3B467}"/>
            </a:ext>
          </a:extLst>
        </xdr:cNvPr>
        <xdr:cNvSpPr txBox="1"/>
      </xdr:nvSpPr>
      <xdr:spPr>
        <a:xfrm>
          <a:off x="1390650" y="19050"/>
          <a:ext cx="6648450" cy="1123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Governance</a:t>
          </a: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ethics, accountability, participation, rule of law and holistic management;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7</xdr:col>
      <xdr:colOff>0</xdr:colOff>
      <xdr:row>16</xdr:row>
      <xdr:rowOff>0</xdr:rowOff>
    </xdr:from>
    <xdr:to>
      <xdr:col>11</xdr:col>
      <xdr:colOff>581025</xdr:colOff>
      <xdr:row>23</xdr:row>
      <xdr:rowOff>76200</xdr:rowOff>
    </xdr:to>
    <xdr:pic>
      <xdr:nvPicPr>
        <xdr:cNvPr id="8" name="Picture 7">
          <a:extLst>
            <a:ext uri="{FF2B5EF4-FFF2-40B4-BE49-F238E27FC236}">
              <a16:creationId xmlns:a16="http://schemas.microsoft.com/office/drawing/2014/main" id="{9B2E3A0E-6230-492C-B052-9092CAFA6E6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5743575"/>
          <a:ext cx="3857625" cy="21050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296334</xdr:colOff>
      <xdr:row>6</xdr:row>
      <xdr:rowOff>164307</xdr:rowOff>
    </xdr:from>
    <xdr:to>
      <xdr:col>3</xdr:col>
      <xdr:colOff>442913</xdr:colOff>
      <xdr:row>44</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42471</xdr:colOff>
      <xdr:row>6</xdr:row>
      <xdr:rowOff>44637</xdr:rowOff>
    </xdr:from>
    <xdr:to>
      <xdr:col>12</xdr:col>
      <xdr:colOff>511817</xdr:colOff>
      <xdr:row>56</xdr:row>
      <xdr:rowOff>298174</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508618</xdr:colOff>
      <xdr:row>86</xdr:row>
      <xdr:rowOff>95889</xdr:rowOff>
    </xdr:from>
    <xdr:ext cx="2431709" cy="525308"/>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9942509" y="15816280"/>
          <a:ext cx="2431709" cy="525308"/>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a:t>1 ALU is one full-time employee working 2200 hours per year </a:t>
          </a:r>
        </a:p>
      </xdr:txBody>
    </xdr:sp>
    <xdr:clientData/>
  </xdr:oneCellAnchor>
  <xdr:twoCellAnchor editAs="oneCell">
    <xdr:from>
      <xdr:col>0</xdr:col>
      <xdr:colOff>0</xdr:colOff>
      <xdr:row>0</xdr:row>
      <xdr:rowOff>0</xdr:rowOff>
    </xdr:from>
    <xdr:to>
      <xdr:col>0</xdr:col>
      <xdr:colOff>1481667</xdr:colOff>
      <xdr:row>6</xdr:row>
      <xdr:rowOff>52916</xdr:rowOff>
    </xdr:to>
    <xdr:pic>
      <xdr:nvPicPr>
        <xdr:cNvPr id="7" name="Picture 6">
          <a:extLst>
            <a:ext uri="{FF2B5EF4-FFF2-40B4-BE49-F238E27FC236}">
              <a16:creationId xmlns:a16="http://schemas.microsoft.com/office/drawing/2014/main" id="{CCC6A339-38AE-4E44-9D73-A9977053D526}"/>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0" y="0"/>
          <a:ext cx="1481667" cy="147108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2037522</xdr:colOff>
      <xdr:row>0</xdr:row>
      <xdr:rowOff>172048</xdr:rowOff>
    </xdr:from>
    <xdr:to>
      <xdr:col>3</xdr:col>
      <xdr:colOff>588065</xdr:colOff>
      <xdr:row>3</xdr:row>
      <xdr:rowOff>126540</xdr:rowOff>
    </xdr:to>
    <xdr:sp macro="" textlink="">
      <xdr:nvSpPr>
        <xdr:cNvPr id="8" name="TextBox 7">
          <a:extLst>
            <a:ext uri="{FF2B5EF4-FFF2-40B4-BE49-F238E27FC236}">
              <a16:creationId xmlns:a16="http://schemas.microsoft.com/office/drawing/2014/main" id="{77547BF2-CF38-43A3-992B-CAD98B379D84}"/>
            </a:ext>
          </a:extLst>
        </xdr:cNvPr>
        <xdr:cNvSpPr txBox="1"/>
      </xdr:nvSpPr>
      <xdr:spPr>
        <a:xfrm>
          <a:off x="2037522" y="172048"/>
          <a:ext cx="5002695"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editAs="oneCell">
    <xdr:from>
      <xdr:col>4</xdr:col>
      <xdr:colOff>41413</xdr:colOff>
      <xdr:row>0</xdr:row>
      <xdr:rowOff>41412</xdr:rowOff>
    </xdr:from>
    <xdr:to>
      <xdr:col>5</xdr:col>
      <xdr:colOff>1079500</xdr:colOff>
      <xdr:row>6</xdr:row>
      <xdr:rowOff>95250</xdr:rowOff>
    </xdr:to>
    <xdr:pic>
      <xdr:nvPicPr>
        <xdr:cNvPr id="9" name="Picture 8">
          <a:extLst>
            <a:ext uri="{FF2B5EF4-FFF2-40B4-BE49-F238E27FC236}">
              <a16:creationId xmlns:a16="http://schemas.microsoft.com/office/drawing/2014/main" id="{74D7CA11-96F1-4756-8644-80E24FF14313}"/>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7100496" y="41412"/>
          <a:ext cx="1482587" cy="1472005"/>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1432891</xdr:colOff>
      <xdr:row>0</xdr:row>
      <xdr:rowOff>157370</xdr:rowOff>
    </xdr:from>
    <xdr:to>
      <xdr:col>12</xdr:col>
      <xdr:colOff>538370</xdr:colOff>
      <xdr:row>3</xdr:row>
      <xdr:rowOff>111862</xdr:rowOff>
    </xdr:to>
    <xdr:sp macro="" textlink="">
      <xdr:nvSpPr>
        <xdr:cNvPr id="10" name="TextBox 9">
          <a:extLst>
            <a:ext uri="{FF2B5EF4-FFF2-40B4-BE49-F238E27FC236}">
              <a16:creationId xmlns:a16="http://schemas.microsoft.com/office/drawing/2014/main" id="{970A0016-E5BE-44D1-9EFA-E21DD94CB292}"/>
            </a:ext>
          </a:extLst>
        </xdr:cNvPr>
        <xdr:cNvSpPr txBox="1"/>
      </xdr:nvSpPr>
      <xdr:spPr>
        <a:xfrm>
          <a:off x="8945217" y="157370"/>
          <a:ext cx="5276023"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endParaRPr lang="en-US" sz="1600" i="1" baseline="0">
            <a:solidFill>
              <a:srgbClr val="99CC00"/>
            </a:solidFill>
            <a:effectLst/>
            <a:latin typeface="+mn-lt"/>
            <a:ea typeface="+mn-ea"/>
            <a:cs typeface="+mn-cs"/>
          </a:endParaRPr>
        </a:p>
      </xdr:txBody>
    </xdr:sp>
    <xdr:clientData/>
  </xdr:twoCellAnchor>
  <xdr:twoCellAnchor editAs="oneCell">
    <xdr:from>
      <xdr:col>0</xdr:col>
      <xdr:colOff>33130</xdr:colOff>
      <xdr:row>57</xdr:row>
      <xdr:rowOff>49695</xdr:rowOff>
    </xdr:from>
    <xdr:to>
      <xdr:col>0</xdr:col>
      <xdr:colOff>1535963</xdr:colOff>
      <xdr:row>63</xdr:row>
      <xdr:rowOff>4139</xdr:rowOff>
    </xdr:to>
    <xdr:pic>
      <xdr:nvPicPr>
        <xdr:cNvPr id="11" name="Picture 10">
          <a:extLst>
            <a:ext uri="{FF2B5EF4-FFF2-40B4-BE49-F238E27FC236}">
              <a16:creationId xmlns:a16="http://schemas.microsoft.com/office/drawing/2014/main" id="{B83F6682-EDD2-47D3-9A3C-09A27D80488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33130" y="9417325"/>
          <a:ext cx="1502833" cy="13790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107673</xdr:colOff>
      <xdr:row>57</xdr:row>
      <xdr:rowOff>41413</xdr:rowOff>
    </xdr:from>
    <xdr:to>
      <xdr:col>5</xdr:col>
      <xdr:colOff>1163245</xdr:colOff>
      <xdr:row>62</xdr:row>
      <xdr:rowOff>294031</xdr:rowOff>
    </xdr:to>
    <xdr:pic>
      <xdr:nvPicPr>
        <xdr:cNvPr id="12" name="Picture 11">
          <a:extLst>
            <a:ext uri="{FF2B5EF4-FFF2-40B4-BE49-F238E27FC236}">
              <a16:creationId xmlns:a16="http://schemas.microsoft.com/office/drawing/2014/main" id="{2B4241C6-31B6-4E91-AC5A-A18DCC65D59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7172738" y="9409043"/>
          <a:ext cx="1502833" cy="137905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1822174</xdr:colOff>
      <xdr:row>57</xdr:row>
      <xdr:rowOff>124239</xdr:rowOff>
    </xdr:from>
    <xdr:to>
      <xdr:col>3</xdr:col>
      <xdr:colOff>508461</xdr:colOff>
      <xdr:row>60</xdr:row>
      <xdr:rowOff>78731</xdr:rowOff>
    </xdr:to>
    <xdr:sp macro="" textlink="">
      <xdr:nvSpPr>
        <xdr:cNvPr id="13" name="TextBox 12">
          <a:extLst>
            <a:ext uri="{FF2B5EF4-FFF2-40B4-BE49-F238E27FC236}">
              <a16:creationId xmlns:a16="http://schemas.microsoft.com/office/drawing/2014/main" id="{C68F3402-B93B-4FF6-9A54-7B8BC27A6F70}"/>
            </a:ext>
          </a:extLst>
        </xdr:cNvPr>
        <xdr:cNvSpPr txBox="1"/>
      </xdr:nvSpPr>
      <xdr:spPr>
        <a:xfrm>
          <a:off x="1822174" y="9491869"/>
          <a:ext cx="5138439"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xdr:from>
      <xdr:col>5</xdr:col>
      <xdr:colOff>1524000</xdr:colOff>
      <xdr:row>57</xdr:row>
      <xdr:rowOff>66261</xdr:rowOff>
    </xdr:from>
    <xdr:to>
      <xdr:col>12</xdr:col>
      <xdr:colOff>583005</xdr:colOff>
      <xdr:row>60</xdr:row>
      <xdr:rowOff>20753</xdr:rowOff>
    </xdr:to>
    <xdr:sp macro="" textlink="">
      <xdr:nvSpPr>
        <xdr:cNvPr id="14" name="TextBox 13">
          <a:extLst>
            <a:ext uri="{FF2B5EF4-FFF2-40B4-BE49-F238E27FC236}">
              <a16:creationId xmlns:a16="http://schemas.microsoft.com/office/drawing/2014/main" id="{047EA34E-65CD-4E5F-A57D-65297656B478}"/>
            </a:ext>
          </a:extLst>
        </xdr:cNvPr>
        <xdr:cNvSpPr txBox="1"/>
      </xdr:nvSpPr>
      <xdr:spPr>
        <a:xfrm>
          <a:off x="9036326" y="9433891"/>
          <a:ext cx="5229549"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xdr:from>
      <xdr:col>10</xdr:col>
      <xdr:colOff>33132</xdr:colOff>
      <xdr:row>107</xdr:row>
      <xdr:rowOff>66629</xdr:rowOff>
    </xdr:from>
    <xdr:to>
      <xdr:col>12</xdr:col>
      <xdr:colOff>441555</xdr:colOff>
      <xdr:row>115</xdr:row>
      <xdr:rowOff>175958</xdr:rowOff>
    </xdr:to>
    <xdr:pic>
      <xdr:nvPicPr>
        <xdr:cNvPr id="15" name="Picture 1">
          <a:extLst>
            <a:ext uri="{FF2B5EF4-FFF2-40B4-BE49-F238E27FC236}">
              <a16:creationId xmlns:a16="http://schemas.microsoft.com/office/drawing/2014/main" id="{5ADCE82C-8980-4112-A657-524AF66032E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90175" y="19688129"/>
          <a:ext cx="1634250" cy="1633329"/>
        </a:xfrm>
        <a:prstGeom prst="rect">
          <a:avLst/>
        </a:prstGeom>
        <a:noFill/>
        <a:ln w="9525">
          <a:noFill/>
          <a:miter lim="800000"/>
          <a:headEnd/>
          <a:tailEnd/>
        </a:ln>
      </xdr:spPr>
    </xdr:pic>
    <xdr:clientData/>
  </xdr:twoCellAnchor>
  <xdr:oneCellAnchor>
    <xdr:from>
      <xdr:col>2</xdr:col>
      <xdr:colOff>49696</xdr:colOff>
      <xdr:row>47</xdr:row>
      <xdr:rowOff>66260</xdr:rowOff>
    </xdr:from>
    <xdr:ext cx="1159565" cy="869675"/>
    <xdr:sp macro="" textlink="">
      <xdr:nvSpPr>
        <xdr:cNvPr id="16" name="TextBox 15">
          <a:extLst>
            <a:ext uri="{FF2B5EF4-FFF2-40B4-BE49-F238E27FC236}">
              <a16:creationId xmlns:a16="http://schemas.microsoft.com/office/drawing/2014/main" id="{350A9759-26A5-4F80-8C44-D6B48B49D85E}"/>
            </a:ext>
          </a:extLst>
        </xdr:cNvPr>
        <xdr:cNvSpPr txBox="1"/>
      </xdr:nvSpPr>
      <xdr:spPr>
        <a:xfrm>
          <a:off x="5748131" y="7379803"/>
          <a:ext cx="1159565" cy="869675"/>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a:t>scores range from 1 (lowest) to 5 (highest)</a:t>
          </a:r>
        </a:p>
      </xdr:txBody>
    </xdr:sp>
    <xdr:clientData/>
  </xdr:oneCellAnchor>
  <xdr:twoCellAnchor>
    <xdr:from>
      <xdr:col>4</xdr:col>
      <xdr:colOff>124240</xdr:colOff>
      <xdr:row>105</xdr:row>
      <xdr:rowOff>149088</xdr:rowOff>
    </xdr:from>
    <xdr:to>
      <xdr:col>8</xdr:col>
      <xdr:colOff>356154</xdr:colOff>
      <xdr:row>112</xdr:row>
      <xdr:rowOff>33130</xdr:rowOff>
    </xdr:to>
    <xdr:sp macro="" textlink="">
      <xdr:nvSpPr>
        <xdr:cNvPr id="4" name="TextBox 3">
          <a:extLst>
            <a:ext uri="{FF2B5EF4-FFF2-40B4-BE49-F238E27FC236}">
              <a16:creationId xmlns:a16="http://schemas.microsoft.com/office/drawing/2014/main" id="{5F05498D-0179-4F35-9A77-7DD222D74AAF}"/>
            </a:ext>
          </a:extLst>
        </xdr:cNvPr>
        <xdr:cNvSpPr txBox="1"/>
      </xdr:nvSpPr>
      <xdr:spPr>
        <a:xfrm>
          <a:off x="7189305" y="19389588"/>
          <a:ext cx="4398066" cy="1217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Acknowledgements</a:t>
          </a:r>
          <a:endParaRPr lang="en-GB" sz="1100" b="1">
            <a:solidFill>
              <a:schemeClr val="dk1"/>
            </a:solidFill>
            <a:effectLst/>
            <a:latin typeface="+mn-lt"/>
            <a:ea typeface="+mn-ea"/>
            <a:cs typeface="+mn-cs"/>
          </a:endParaRPr>
        </a:p>
        <a:p>
          <a:r>
            <a:rPr lang="en-GB" sz="1100" i="1">
              <a:solidFill>
                <a:schemeClr val="dk1"/>
              </a:solidFill>
              <a:effectLst/>
              <a:latin typeface="+mn-lt"/>
              <a:ea typeface="+mn-ea"/>
              <a:cs typeface="+mn-cs"/>
            </a:rPr>
            <a:t>SustainFARM is a three year project, funded by national agencies as part of the European FACCE SURPLUS ERA-NET co-fund programme formed in collaboration between the European Commission and a partnership of 15 countries in the frame of the Joint Programming Initiative on Agriculture, Food Security and Climate Change (FACCE-JPI).</a:t>
          </a:r>
          <a:endParaRPr lang="en-GB" sz="1100">
            <a:solidFill>
              <a:schemeClr val="dk1"/>
            </a:solidFill>
            <a:effectLst/>
            <a:latin typeface="+mn-lt"/>
            <a:ea typeface="+mn-ea"/>
            <a:cs typeface="+mn-cs"/>
          </a:endParaRPr>
        </a:p>
        <a:p>
          <a:endParaRPr lang="en-GB" sz="1100"/>
        </a:p>
      </xdr:txBody>
    </xdr:sp>
    <xdr:clientData/>
  </xdr:twoCellAnchor>
  <xdr:twoCellAnchor editAs="oneCell">
    <xdr:from>
      <xdr:col>4</xdr:col>
      <xdr:colOff>182217</xdr:colOff>
      <xdr:row>112</xdr:row>
      <xdr:rowOff>140804</xdr:rowOff>
    </xdr:from>
    <xdr:to>
      <xdr:col>5</xdr:col>
      <xdr:colOff>1664804</xdr:colOff>
      <xdr:row>115</xdr:row>
      <xdr:rowOff>172527</xdr:rowOff>
    </xdr:to>
    <xdr:pic>
      <xdr:nvPicPr>
        <xdr:cNvPr id="18" name="Picture 17">
          <a:extLst>
            <a:ext uri="{FF2B5EF4-FFF2-40B4-BE49-F238E27FC236}">
              <a16:creationId xmlns:a16="http://schemas.microsoft.com/office/drawing/2014/main" id="{BF5A4428-9661-45CD-A97E-30E3418D851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47282" y="20714804"/>
          <a:ext cx="1929848" cy="603223"/>
        </a:xfrm>
        <a:prstGeom prst="rect">
          <a:avLst/>
        </a:prstGeom>
        <a:noFill/>
        <a:ln w="31750">
          <a:solidFill>
            <a:srgbClr val="FF0000"/>
          </a:solidFill>
          <a:miter lim="800000"/>
          <a:headEnd/>
          <a:tailEnd/>
        </a:ln>
        <a:extLst/>
      </xdr:spPr>
    </xdr:pic>
    <xdr:clientData/>
  </xdr:twoCellAnchor>
  <xdr:twoCellAnchor editAs="oneCell">
    <xdr:from>
      <xdr:col>5</xdr:col>
      <xdr:colOff>1747631</xdr:colOff>
      <xdr:row>111</xdr:row>
      <xdr:rowOff>107674</xdr:rowOff>
    </xdr:from>
    <xdr:to>
      <xdr:col>6</xdr:col>
      <xdr:colOff>803413</xdr:colOff>
      <xdr:row>115</xdr:row>
      <xdr:rowOff>2872</xdr:rowOff>
    </xdr:to>
    <xdr:pic>
      <xdr:nvPicPr>
        <xdr:cNvPr id="19" name="Immagine 3">
          <a:extLst>
            <a:ext uri="{FF2B5EF4-FFF2-40B4-BE49-F238E27FC236}">
              <a16:creationId xmlns:a16="http://schemas.microsoft.com/office/drawing/2014/main" id="{432BE53E-17FB-4882-9EAD-8F50FC079A96}"/>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59957" y="20681674"/>
          <a:ext cx="977347" cy="657198"/>
        </a:xfrm>
        <a:prstGeom prst="rect">
          <a:avLst/>
        </a:prstGeom>
        <a:noFill/>
      </xdr:spPr>
    </xdr:pic>
    <xdr:clientData/>
  </xdr:twoCellAnchor>
  <xdr:twoCellAnchor editAs="oneCell">
    <xdr:from>
      <xdr:col>6</xdr:col>
      <xdr:colOff>819978</xdr:colOff>
      <xdr:row>111</xdr:row>
      <xdr:rowOff>91109</xdr:rowOff>
    </xdr:from>
    <xdr:to>
      <xdr:col>8</xdr:col>
      <xdr:colOff>364435</xdr:colOff>
      <xdr:row>114</xdr:row>
      <xdr:rowOff>186911</xdr:rowOff>
    </xdr:to>
    <xdr:pic>
      <xdr:nvPicPr>
        <xdr:cNvPr id="20" name="Immagine 4">
          <a:extLst>
            <a:ext uri="{FF2B5EF4-FFF2-40B4-BE49-F238E27FC236}">
              <a16:creationId xmlns:a16="http://schemas.microsoft.com/office/drawing/2014/main" id="{2358B3E8-C23B-48C2-B45D-8241C34753A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53869" y="20665109"/>
          <a:ext cx="1341783" cy="667302"/>
        </a:xfrm>
        <a:prstGeom prst="rect">
          <a:avLst/>
        </a:prstGeom>
        <a:noFill/>
      </xdr:spPr>
    </xdr:pic>
    <xdr:clientData/>
  </xdr:twoCellAnchor>
  <xdr:twoCellAnchor>
    <xdr:from>
      <xdr:col>0</xdr:col>
      <xdr:colOff>3100916</xdr:colOff>
      <xdr:row>8</xdr:row>
      <xdr:rowOff>84667</xdr:rowOff>
    </xdr:from>
    <xdr:to>
      <xdr:col>3</xdr:col>
      <xdr:colOff>412750</xdr:colOff>
      <xdr:row>10</xdr:row>
      <xdr:rowOff>52917</xdr:rowOff>
    </xdr:to>
    <xdr:sp macro="" textlink="">
      <xdr:nvSpPr>
        <xdr:cNvPr id="6" name="TextBox 5">
          <a:hlinkClick xmlns:r="http://schemas.openxmlformats.org/officeDocument/2006/relationships" r:id="rId8"/>
          <a:extLst>
            <a:ext uri="{FF2B5EF4-FFF2-40B4-BE49-F238E27FC236}">
              <a16:creationId xmlns:a16="http://schemas.microsoft.com/office/drawing/2014/main" id="{65F91D50-2EB0-45E2-B068-986E77673163}"/>
            </a:ext>
          </a:extLst>
        </xdr:cNvPr>
        <xdr:cNvSpPr txBox="1"/>
      </xdr:nvSpPr>
      <xdr:spPr>
        <a:xfrm>
          <a:off x="3100916" y="1883834"/>
          <a:ext cx="3757084"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rgbClr val="FF0000"/>
              </a:solidFill>
            </a:rPr>
            <a:t>For farms without livestock, click</a:t>
          </a:r>
          <a:r>
            <a:rPr lang="en-GB" sz="1400" baseline="0">
              <a:solidFill>
                <a:srgbClr val="FF0000"/>
              </a:solidFill>
            </a:rPr>
            <a:t> here for results</a:t>
          </a:r>
          <a:endParaRPr lang="en-GB" sz="14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296334</xdr:colOff>
      <xdr:row>6</xdr:row>
      <xdr:rowOff>164307</xdr:rowOff>
    </xdr:from>
    <xdr:to>
      <xdr:col>3</xdr:col>
      <xdr:colOff>442913</xdr:colOff>
      <xdr:row>44</xdr:row>
      <xdr:rowOff>0</xdr:rowOff>
    </xdr:to>
    <xdr:graphicFrame macro="">
      <xdr:nvGraphicFramePr>
        <xdr:cNvPr id="2" name="Chart 1">
          <a:extLst>
            <a:ext uri="{FF2B5EF4-FFF2-40B4-BE49-F238E27FC236}">
              <a16:creationId xmlns:a16="http://schemas.microsoft.com/office/drawing/2014/main" id="{2B7CFC58-85B4-40C4-9897-002668B7B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42471</xdr:colOff>
      <xdr:row>6</xdr:row>
      <xdr:rowOff>44637</xdr:rowOff>
    </xdr:from>
    <xdr:to>
      <xdr:col>12</xdr:col>
      <xdr:colOff>511817</xdr:colOff>
      <xdr:row>55</xdr:row>
      <xdr:rowOff>298174</xdr:rowOff>
    </xdr:to>
    <xdr:graphicFrame macro="">
      <xdr:nvGraphicFramePr>
        <xdr:cNvPr id="3" name="Chart 2">
          <a:extLst>
            <a:ext uri="{FF2B5EF4-FFF2-40B4-BE49-F238E27FC236}">
              <a16:creationId xmlns:a16="http://schemas.microsoft.com/office/drawing/2014/main" id="{FF476F7A-7CB1-4AED-81F2-B8D029FFF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508618</xdr:colOff>
      <xdr:row>86</xdr:row>
      <xdr:rowOff>95889</xdr:rowOff>
    </xdr:from>
    <xdr:ext cx="2431709" cy="525308"/>
    <xdr:sp macro="" textlink="">
      <xdr:nvSpPr>
        <xdr:cNvPr id="4" name="TextBox 3">
          <a:extLst>
            <a:ext uri="{FF2B5EF4-FFF2-40B4-BE49-F238E27FC236}">
              <a16:creationId xmlns:a16="http://schemas.microsoft.com/office/drawing/2014/main" id="{0FCC85C7-23F6-4FB9-8FF1-0FE828AC2F29}"/>
            </a:ext>
          </a:extLst>
        </xdr:cNvPr>
        <xdr:cNvSpPr txBox="1"/>
      </xdr:nvSpPr>
      <xdr:spPr>
        <a:xfrm>
          <a:off x="9938368" y="17783814"/>
          <a:ext cx="2431709" cy="525308"/>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a:t>1 ALU is one full-time employee working 2200 hours per year </a:t>
          </a:r>
        </a:p>
      </xdr:txBody>
    </xdr:sp>
    <xdr:clientData/>
  </xdr:oneCellAnchor>
  <xdr:twoCellAnchor editAs="oneCell">
    <xdr:from>
      <xdr:col>0</xdr:col>
      <xdr:colOff>0</xdr:colOff>
      <xdr:row>0</xdr:row>
      <xdr:rowOff>0</xdr:rowOff>
    </xdr:from>
    <xdr:to>
      <xdr:col>0</xdr:col>
      <xdr:colOff>1481667</xdr:colOff>
      <xdr:row>6</xdr:row>
      <xdr:rowOff>52916</xdr:rowOff>
    </xdr:to>
    <xdr:pic>
      <xdr:nvPicPr>
        <xdr:cNvPr id="5" name="Picture 4">
          <a:extLst>
            <a:ext uri="{FF2B5EF4-FFF2-40B4-BE49-F238E27FC236}">
              <a16:creationId xmlns:a16="http://schemas.microsoft.com/office/drawing/2014/main" id="{ED40942C-A99D-4BA3-954E-B8FD6EA8CFD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0" y="0"/>
          <a:ext cx="1481667" cy="1472141"/>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2037522</xdr:colOff>
      <xdr:row>0</xdr:row>
      <xdr:rowOff>172048</xdr:rowOff>
    </xdr:from>
    <xdr:to>
      <xdr:col>3</xdr:col>
      <xdr:colOff>588065</xdr:colOff>
      <xdr:row>3</xdr:row>
      <xdr:rowOff>126540</xdr:rowOff>
    </xdr:to>
    <xdr:sp macro="" textlink="">
      <xdr:nvSpPr>
        <xdr:cNvPr id="6" name="TextBox 5">
          <a:extLst>
            <a:ext uri="{FF2B5EF4-FFF2-40B4-BE49-F238E27FC236}">
              <a16:creationId xmlns:a16="http://schemas.microsoft.com/office/drawing/2014/main" id="{89D21ED1-4302-48C1-B5FD-660DCC9C57CA}"/>
            </a:ext>
          </a:extLst>
        </xdr:cNvPr>
        <xdr:cNvSpPr txBox="1"/>
      </xdr:nvSpPr>
      <xdr:spPr>
        <a:xfrm>
          <a:off x="2037522" y="172048"/>
          <a:ext cx="4998968"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editAs="oneCell">
    <xdr:from>
      <xdr:col>4</xdr:col>
      <xdr:colOff>41413</xdr:colOff>
      <xdr:row>0</xdr:row>
      <xdr:rowOff>41412</xdr:rowOff>
    </xdr:from>
    <xdr:to>
      <xdr:col>5</xdr:col>
      <xdr:colOff>1079500</xdr:colOff>
      <xdr:row>6</xdr:row>
      <xdr:rowOff>95250</xdr:rowOff>
    </xdr:to>
    <xdr:pic>
      <xdr:nvPicPr>
        <xdr:cNvPr id="7" name="Picture 6">
          <a:extLst>
            <a:ext uri="{FF2B5EF4-FFF2-40B4-BE49-F238E27FC236}">
              <a16:creationId xmlns:a16="http://schemas.microsoft.com/office/drawing/2014/main" id="{71BF5376-8E79-4D15-AC9D-7C39A142F8B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7099438" y="41412"/>
          <a:ext cx="1485762" cy="1473063"/>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1432891</xdr:colOff>
      <xdr:row>0</xdr:row>
      <xdr:rowOff>157370</xdr:rowOff>
    </xdr:from>
    <xdr:to>
      <xdr:col>12</xdr:col>
      <xdr:colOff>538370</xdr:colOff>
      <xdr:row>3</xdr:row>
      <xdr:rowOff>111862</xdr:rowOff>
    </xdr:to>
    <xdr:sp macro="" textlink="">
      <xdr:nvSpPr>
        <xdr:cNvPr id="8" name="TextBox 7">
          <a:extLst>
            <a:ext uri="{FF2B5EF4-FFF2-40B4-BE49-F238E27FC236}">
              <a16:creationId xmlns:a16="http://schemas.microsoft.com/office/drawing/2014/main" id="{04EA3EF5-814E-4C5D-88D4-6ED55D1AB47B}"/>
            </a:ext>
          </a:extLst>
        </xdr:cNvPr>
        <xdr:cNvSpPr txBox="1"/>
      </xdr:nvSpPr>
      <xdr:spPr>
        <a:xfrm>
          <a:off x="8938591" y="157370"/>
          <a:ext cx="5258629"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endParaRPr lang="en-US" sz="1600" i="1" baseline="0">
            <a:solidFill>
              <a:srgbClr val="99CC00"/>
            </a:solidFill>
            <a:effectLst/>
            <a:latin typeface="+mn-lt"/>
            <a:ea typeface="+mn-ea"/>
            <a:cs typeface="+mn-cs"/>
          </a:endParaRPr>
        </a:p>
      </xdr:txBody>
    </xdr:sp>
    <xdr:clientData/>
  </xdr:twoCellAnchor>
  <xdr:twoCellAnchor editAs="oneCell">
    <xdr:from>
      <xdr:col>0</xdr:col>
      <xdr:colOff>33130</xdr:colOff>
      <xdr:row>56</xdr:row>
      <xdr:rowOff>49695</xdr:rowOff>
    </xdr:from>
    <xdr:to>
      <xdr:col>0</xdr:col>
      <xdr:colOff>1535963</xdr:colOff>
      <xdr:row>62</xdr:row>
      <xdr:rowOff>4139</xdr:rowOff>
    </xdr:to>
    <xdr:pic>
      <xdr:nvPicPr>
        <xdr:cNvPr id="9" name="Picture 8">
          <a:extLst>
            <a:ext uri="{FF2B5EF4-FFF2-40B4-BE49-F238E27FC236}">
              <a16:creationId xmlns:a16="http://schemas.microsoft.com/office/drawing/2014/main" id="{9708F4A6-449C-4B9C-A837-2E015D45CCC7}"/>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33130" y="11355870"/>
          <a:ext cx="1502833" cy="137366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107673</xdr:colOff>
      <xdr:row>56</xdr:row>
      <xdr:rowOff>41413</xdr:rowOff>
    </xdr:from>
    <xdr:to>
      <xdr:col>5</xdr:col>
      <xdr:colOff>1163245</xdr:colOff>
      <xdr:row>61</xdr:row>
      <xdr:rowOff>294031</xdr:rowOff>
    </xdr:to>
    <xdr:pic>
      <xdr:nvPicPr>
        <xdr:cNvPr id="10" name="Picture 9">
          <a:extLst>
            <a:ext uri="{FF2B5EF4-FFF2-40B4-BE49-F238E27FC236}">
              <a16:creationId xmlns:a16="http://schemas.microsoft.com/office/drawing/2014/main" id="{FDA4C243-23D0-4438-AC53-2FC104D516F6}"/>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47" t="21866" r="22393" b="22820"/>
        <a:stretch/>
      </xdr:blipFill>
      <xdr:spPr bwMode="auto">
        <a:xfrm>
          <a:off x="7165698" y="11347588"/>
          <a:ext cx="1503247" cy="1376568"/>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1822174</xdr:colOff>
      <xdr:row>56</xdr:row>
      <xdr:rowOff>124239</xdr:rowOff>
    </xdr:from>
    <xdr:to>
      <xdr:col>3</xdr:col>
      <xdr:colOff>508461</xdr:colOff>
      <xdr:row>59</xdr:row>
      <xdr:rowOff>78731</xdr:rowOff>
    </xdr:to>
    <xdr:sp macro="" textlink="">
      <xdr:nvSpPr>
        <xdr:cNvPr id="11" name="TextBox 10">
          <a:extLst>
            <a:ext uri="{FF2B5EF4-FFF2-40B4-BE49-F238E27FC236}">
              <a16:creationId xmlns:a16="http://schemas.microsoft.com/office/drawing/2014/main" id="{6B5E37C0-9D18-4D92-8F36-C2B52335AD39}"/>
            </a:ext>
          </a:extLst>
        </xdr:cNvPr>
        <xdr:cNvSpPr txBox="1"/>
      </xdr:nvSpPr>
      <xdr:spPr>
        <a:xfrm>
          <a:off x="1822174" y="11430414"/>
          <a:ext cx="5134712"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xdr:from>
      <xdr:col>5</xdr:col>
      <xdr:colOff>1524000</xdr:colOff>
      <xdr:row>56</xdr:row>
      <xdr:rowOff>66261</xdr:rowOff>
    </xdr:from>
    <xdr:to>
      <xdr:col>12</xdr:col>
      <xdr:colOff>583005</xdr:colOff>
      <xdr:row>59</xdr:row>
      <xdr:rowOff>20753</xdr:rowOff>
    </xdr:to>
    <xdr:sp macro="" textlink="">
      <xdr:nvSpPr>
        <xdr:cNvPr id="12" name="TextBox 11">
          <a:extLst>
            <a:ext uri="{FF2B5EF4-FFF2-40B4-BE49-F238E27FC236}">
              <a16:creationId xmlns:a16="http://schemas.microsoft.com/office/drawing/2014/main" id="{B4DF30FC-5C61-4A88-B307-E3A62363A197}"/>
            </a:ext>
          </a:extLst>
        </xdr:cNvPr>
        <xdr:cNvSpPr txBox="1"/>
      </xdr:nvSpPr>
      <xdr:spPr>
        <a:xfrm>
          <a:off x="9029700" y="11372436"/>
          <a:ext cx="5212155" cy="525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2800" b="1">
              <a:solidFill>
                <a:srgbClr val="99CC00"/>
              </a:solidFill>
            </a:rPr>
            <a:t>SustainFARM</a:t>
          </a:r>
          <a:r>
            <a:rPr lang="en-US" sz="2800" b="1" baseline="0">
              <a:solidFill>
                <a:srgbClr val="99CC00"/>
              </a:solidFill>
            </a:rPr>
            <a:t> PGTool results for:</a:t>
          </a:r>
          <a:endParaRPr lang="en-US" sz="2800" b="1">
            <a:solidFill>
              <a:srgbClr val="99CC00"/>
            </a:solidFill>
          </a:endParaRPr>
        </a:p>
        <a:p>
          <a:pPr algn="r"/>
          <a:endParaRPr lang="en-US" sz="1600" i="1" baseline="0">
            <a:solidFill>
              <a:srgbClr val="99CC00"/>
            </a:solidFill>
            <a:effectLst/>
            <a:latin typeface="+mn-lt"/>
            <a:ea typeface="+mn-ea"/>
            <a:cs typeface="+mn-cs"/>
          </a:endParaRPr>
        </a:p>
      </xdr:txBody>
    </xdr:sp>
    <xdr:clientData/>
  </xdr:twoCellAnchor>
  <xdr:twoCellAnchor>
    <xdr:from>
      <xdr:col>10</xdr:col>
      <xdr:colOff>264584</xdr:colOff>
      <xdr:row>102</xdr:row>
      <xdr:rowOff>180934</xdr:rowOff>
    </xdr:from>
    <xdr:to>
      <xdr:col>12</xdr:col>
      <xdr:colOff>388638</xdr:colOff>
      <xdr:row>108</xdr:row>
      <xdr:rowOff>154792</xdr:rowOff>
    </xdr:to>
    <xdr:pic>
      <xdr:nvPicPr>
        <xdr:cNvPr id="13" name="Picture 1">
          <a:extLst>
            <a:ext uri="{FF2B5EF4-FFF2-40B4-BE49-F238E27FC236}">
              <a16:creationId xmlns:a16="http://schemas.microsoft.com/office/drawing/2014/main" id="{DF66E27C-5FA8-4C4B-9C6A-D827F5BADD6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721167" y="20765517"/>
          <a:ext cx="1351721" cy="1116858"/>
        </a:xfrm>
        <a:prstGeom prst="rect">
          <a:avLst/>
        </a:prstGeom>
        <a:noFill/>
        <a:ln w="9525">
          <a:noFill/>
          <a:miter lim="800000"/>
          <a:headEnd/>
          <a:tailEnd/>
        </a:ln>
      </xdr:spPr>
    </xdr:pic>
    <xdr:clientData/>
  </xdr:twoCellAnchor>
  <xdr:oneCellAnchor>
    <xdr:from>
      <xdr:col>2</xdr:col>
      <xdr:colOff>49696</xdr:colOff>
      <xdr:row>47</xdr:row>
      <xdr:rowOff>66260</xdr:rowOff>
    </xdr:from>
    <xdr:ext cx="1159565" cy="869675"/>
    <xdr:sp macro="" textlink="">
      <xdr:nvSpPr>
        <xdr:cNvPr id="14" name="TextBox 13">
          <a:extLst>
            <a:ext uri="{FF2B5EF4-FFF2-40B4-BE49-F238E27FC236}">
              <a16:creationId xmlns:a16="http://schemas.microsoft.com/office/drawing/2014/main" id="{5A36F532-20AC-413D-A795-4B69D1E7747A}"/>
            </a:ext>
          </a:extLst>
        </xdr:cNvPr>
        <xdr:cNvSpPr txBox="1"/>
      </xdr:nvSpPr>
      <xdr:spPr>
        <a:xfrm>
          <a:off x="5745646" y="9315035"/>
          <a:ext cx="1159565" cy="869675"/>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a:t>scores range from 1 (lowest) to 5 (highest)</a:t>
          </a:r>
        </a:p>
      </xdr:txBody>
    </xdr:sp>
    <xdr:clientData/>
  </xdr:oneCellAnchor>
  <xdr:twoCellAnchor>
    <xdr:from>
      <xdr:col>4</xdr:col>
      <xdr:colOff>124240</xdr:colOff>
      <xdr:row>104</xdr:row>
      <xdr:rowOff>149088</xdr:rowOff>
    </xdr:from>
    <xdr:to>
      <xdr:col>8</xdr:col>
      <xdr:colOff>356154</xdr:colOff>
      <xdr:row>105</xdr:row>
      <xdr:rowOff>33130</xdr:rowOff>
    </xdr:to>
    <xdr:sp macro="" textlink="">
      <xdr:nvSpPr>
        <xdr:cNvPr id="15" name="TextBox 14">
          <a:extLst>
            <a:ext uri="{FF2B5EF4-FFF2-40B4-BE49-F238E27FC236}">
              <a16:creationId xmlns:a16="http://schemas.microsoft.com/office/drawing/2014/main" id="{F094F01B-489F-4326-A66F-97034DC73460}"/>
            </a:ext>
          </a:extLst>
        </xdr:cNvPr>
        <xdr:cNvSpPr txBox="1"/>
      </xdr:nvSpPr>
      <xdr:spPr>
        <a:xfrm>
          <a:off x="7182265" y="21294588"/>
          <a:ext cx="4394339" cy="1217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solidFill>
                <a:schemeClr val="dk1"/>
              </a:solidFill>
              <a:effectLst/>
              <a:latin typeface="+mn-lt"/>
              <a:ea typeface="+mn-ea"/>
              <a:cs typeface="+mn-cs"/>
            </a:rPr>
            <a:t>Acknowledgements</a:t>
          </a:r>
          <a:endParaRPr lang="en-GB" sz="1100" b="1">
            <a:solidFill>
              <a:schemeClr val="dk1"/>
            </a:solidFill>
            <a:effectLst/>
            <a:latin typeface="+mn-lt"/>
            <a:ea typeface="+mn-ea"/>
            <a:cs typeface="+mn-cs"/>
          </a:endParaRPr>
        </a:p>
        <a:p>
          <a:r>
            <a:rPr lang="en-GB" sz="1100" i="1">
              <a:solidFill>
                <a:schemeClr val="dk1"/>
              </a:solidFill>
              <a:effectLst/>
              <a:latin typeface="+mn-lt"/>
              <a:ea typeface="+mn-ea"/>
              <a:cs typeface="+mn-cs"/>
            </a:rPr>
            <a:t>SustainFARM is a three year project, funded by national agencies as part of the European FACCE SURPLUS ERA-NET co-fund programme formed in collaboration between the European Commission and a partnership of 15 countries in the frame of the Joint Programming Initiative on Agriculture, Food Security and Climate Change (FACCE-JPI).</a:t>
          </a:r>
          <a:endParaRPr lang="en-GB" sz="1100">
            <a:solidFill>
              <a:schemeClr val="dk1"/>
            </a:solidFill>
            <a:effectLst/>
            <a:latin typeface="+mn-lt"/>
            <a:ea typeface="+mn-ea"/>
            <a:cs typeface="+mn-cs"/>
          </a:endParaRPr>
        </a:p>
        <a:p>
          <a:endParaRPr lang="en-GB" sz="1100"/>
        </a:p>
      </xdr:txBody>
    </xdr:sp>
    <xdr:clientData/>
  </xdr:twoCellAnchor>
  <xdr:twoCellAnchor editAs="oneCell">
    <xdr:from>
      <xdr:col>5</xdr:col>
      <xdr:colOff>330384</xdr:colOff>
      <xdr:row>105</xdr:row>
      <xdr:rowOff>151387</xdr:rowOff>
    </xdr:from>
    <xdr:to>
      <xdr:col>6</xdr:col>
      <xdr:colOff>331304</xdr:colOff>
      <xdr:row>108</xdr:row>
      <xdr:rowOff>183110</xdr:rowOff>
    </xdr:to>
    <xdr:pic>
      <xdr:nvPicPr>
        <xdr:cNvPr id="16" name="Picture 15">
          <a:extLst>
            <a:ext uri="{FF2B5EF4-FFF2-40B4-BE49-F238E27FC236}">
              <a16:creationId xmlns:a16="http://schemas.microsoft.com/office/drawing/2014/main" id="{C5FC4A01-A060-4537-87E9-D4625ECB9FB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33967" y="21307470"/>
          <a:ext cx="1927087" cy="603223"/>
        </a:xfrm>
        <a:prstGeom prst="rect">
          <a:avLst/>
        </a:prstGeom>
        <a:noFill/>
        <a:ln w="31750">
          <a:solidFill>
            <a:srgbClr val="FF0000"/>
          </a:solidFill>
          <a:miter lim="800000"/>
          <a:headEnd/>
          <a:tailEnd/>
        </a:ln>
        <a:extLst/>
      </xdr:spPr>
    </xdr:pic>
    <xdr:clientData/>
  </xdr:twoCellAnchor>
  <xdr:twoCellAnchor editAs="oneCell">
    <xdr:from>
      <xdr:col>6</xdr:col>
      <xdr:colOff>456464</xdr:colOff>
      <xdr:row>105</xdr:row>
      <xdr:rowOff>107674</xdr:rowOff>
    </xdr:from>
    <xdr:to>
      <xdr:col>7</xdr:col>
      <xdr:colOff>253080</xdr:colOff>
      <xdr:row>109</xdr:row>
      <xdr:rowOff>2872</xdr:rowOff>
    </xdr:to>
    <xdr:pic>
      <xdr:nvPicPr>
        <xdr:cNvPr id="17" name="Immagine 3">
          <a:extLst>
            <a:ext uri="{FF2B5EF4-FFF2-40B4-BE49-F238E27FC236}">
              <a16:creationId xmlns:a16="http://schemas.microsoft.com/office/drawing/2014/main" id="{D9572DF7-B6F0-4DEC-971E-2F78C1D2AFD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86214" y="21263757"/>
          <a:ext cx="981949" cy="657198"/>
        </a:xfrm>
        <a:prstGeom prst="rect">
          <a:avLst/>
        </a:prstGeom>
        <a:noFill/>
      </xdr:spPr>
    </xdr:pic>
    <xdr:clientData/>
  </xdr:twoCellAnchor>
  <xdr:twoCellAnchor editAs="oneCell">
    <xdr:from>
      <xdr:col>7</xdr:col>
      <xdr:colOff>290811</xdr:colOff>
      <xdr:row>105</xdr:row>
      <xdr:rowOff>80526</xdr:rowOff>
    </xdr:from>
    <xdr:to>
      <xdr:col>9</xdr:col>
      <xdr:colOff>406768</xdr:colOff>
      <xdr:row>108</xdr:row>
      <xdr:rowOff>176328</xdr:rowOff>
    </xdr:to>
    <xdr:pic>
      <xdr:nvPicPr>
        <xdr:cNvPr id="18" name="Immagine 4">
          <a:extLst>
            <a:ext uri="{FF2B5EF4-FFF2-40B4-BE49-F238E27FC236}">
              <a16:creationId xmlns:a16="http://schemas.microsoft.com/office/drawing/2014/main" id="{5BC4270D-F5BF-4581-85AC-5D60B6CDA65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905894" y="21236609"/>
          <a:ext cx="1343624" cy="667302"/>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114300</xdr:colOff>
      <xdr:row>16</xdr:row>
      <xdr:rowOff>66675</xdr:rowOff>
    </xdr:from>
    <xdr:to>
      <xdr:col>11</xdr:col>
      <xdr:colOff>342900</xdr:colOff>
      <xdr:row>33</xdr:row>
      <xdr:rowOff>47625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324225"/>
          <a:ext cx="9744075"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2699656</xdr:colOff>
      <xdr:row>87</xdr:row>
      <xdr:rowOff>174171</xdr:rowOff>
    </xdr:from>
    <xdr:to>
      <xdr:col>0</xdr:col>
      <xdr:colOff>5343525</xdr:colOff>
      <xdr:row>91</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699656" y="16804821"/>
          <a:ext cx="2643869" cy="65450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a:t>For 'other</a:t>
          </a:r>
          <a:r>
            <a:rPr lang="en-US" sz="1100" baseline="0"/>
            <a:t> crops' </a:t>
          </a:r>
          <a:r>
            <a:rPr lang="en-US" sz="1100"/>
            <a:t> enter</a:t>
          </a:r>
          <a:r>
            <a:rPr lang="en-US" sz="1100" baseline="0"/>
            <a:t> crop name,  yield data, energy content and NPK values accordingly</a:t>
          </a:r>
          <a:endParaRPr lang="en-US" sz="1100"/>
        </a:p>
      </xdr:txBody>
    </xdr:sp>
    <xdr:clientData/>
  </xdr:twoCellAnchor>
  <xdr:twoCellAnchor>
    <xdr:from>
      <xdr:col>6</xdr:col>
      <xdr:colOff>232682</xdr:colOff>
      <xdr:row>97</xdr:row>
      <xdr:rowOff>12248</xdr:rowOff>
    </xdr:from>
    <xdr:to>
      <xdr:col>8</xdr:col>
      <xdr:colOff>236883</xdr:colOff>
      <xdr:row>101</xdr:row>
      <xdr:rowOff>91938</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386332" y="19300373"/>
          <a:ext cx="1642501" cy="84169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a:t>See animal feeds section below for import/export of forage crops</a:t>
          </a:r>
        </a:p>
      </xdr:txBody>
    </xdr:sp>
    <xdr:clientData/>
  </xdr:twoCellAnchor>
  <xdr:twoCellAnchor>
    <xdr:from>
      <xdr:col>0</xdr:col>
      <xdr:colOff>2178327</xdr:colOff>
      <xdr:row>33</xdr:row>
      <xdr:rowOff>176772</xdr:rowOff>
    </xdr:from>
    <xdr:to>
      <xdr:col>0</xdr:col>
      <xdr:colOff>4286193</xdr:colOff>
      <xdr:row>48</xdr:row>
      <xdr:rowOff>41413</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178327" y="5055229"/>
          <a:ext cx="2107866" cy="2722141"/>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1"/>
            <a:t>Please note: </a:t>
          </a:r>
        </a:p>
        <a:p>
          <a:r>
            <a:rPr lang="en-US" sz="1100" i="1" baseline="0"/>
            <a:t>Winter cover arable crops have been left out of the data collection, as they are unlikely to be leaving the farm gate and will therefore not affect the 'farm-gate' NPK budget.  </a:t>
          </a:r>
        </a:p>
        <a:p>
          <a:endParaRPr lang="en-US" sz="1100" i="1" baseline="0"/>
        </a:p>
        <a:p>
          <a:r>
            <a:rPr lang="en-US" sz="1100" i="1" baseline="0"/>
            <a:t>For crops with more than one sowing to harvest cycle within a 12 month period please total the yields per year. </a:t>
          </a:r>
          <a:r>
            <a:rPr lang="en-US" sz="1100" i="1" baseline="0">
              <a:solidFill>
                <a:srgbClr val="FF0000"/>
              </a:solidFill>
            </a:rPr>
            <a:t>D</a:t>
          </a:r>
          <a:r>
            <a:rPr lang="en-US" sz="1100" b="0" i="1" baseline="0">
              <a:solidFill>
                <a:srgbClr val="FF0000"/>
              </a:solidFill>
            </a:rPr>
            <a:t>o not </a:t>
          </a:r>
          <a:r>
            <a:rPr lang="en-US" sz="1100" i="1" baseline="0">
              <a:solidFill>
                <a:srgbClr val="FF0000"/>
              </a:solidFill>
            </a:rPr>
            <a:t>increase the hectarage to allow for multiple harvests as this will distort the tool's calculations</a:t>
          </a:r>
          <a:endParaRPr lang="en-US" sz="1100" i="1">
            <a:solidFill>
              <a:srgbClr val="FF0000"/>
            </a:solidFill>
          </a:endParaRPr>
        </a:p>
      </xdr:txBody>
    </xdr:sp>
    <xdr:clientData/>
  </xdr:twoCellAnchor>
  <xdr:twoCellAnchor>
    <xdr:from>
      <xdr:col>0</xdr:col>
      <xdr:colOff>4248150</xdr:colOff>
      <xdr:row>293</xdr:row>
      <xdr:rowOff>58511</xdr:rowOff>
    </xdr:from>
    <xdr:to>
      <xdr:col>1</xdr:col>
      <xdr:colOff>1533525</xdr:colOff>
      <xdr:row>296</xdr:row>
      <xdr:rowOff>123825</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4248150" y="43921136"/>
          <a:ext cx="2867025" cy="63681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a:t>you can overwrite NPK content and energy content  </a:t>
          </a:r>
          <a:r>
            <a:rPr lang="en-US" sz="1100" baseline="0"/>
            <a:t>if  more accurate figures are available  for 'other animal feeds'</a:t>
          </a:r>
          <a:endParaRPr lang="en-US" sz="1100"/>
        </a:p>
      </xdr:txBody>
    </xdr:sp>
    <xdr:clientData/>
  </xdr:twoCellAnchor>
  <xdr:twoCellAnchor>
    <xdr:from>
      <xdr:col>3</xdr:col>
      <xdr:colOff>419100</xdr:colOff>
      <xdr:row>302</xdr:row>
      <xdr:rowOff>9525</xdr:rowOff>
    </xdr:from>
    <xdr:to>
      <xdr:col>6</xdr:col>
      <xdr:colOff>619125</xdr:colOff>
      <xdr:row>308</xdr:row>
      <xdr:rowOff>19050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8096250" y="45872400"/>
          <a:ext cx="2676525" cy="11525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a:t>NPK</a:t>
          </a:r>
          <a:r>
            <a:rPr lang="en-US" sz="1100" baseline="0"/>
            <a:t> contents for fertilisers are derived from standard data.</a:t>
          </a:r>
        </a:p>
        <a:p>
          <a:endParaRPr lang="en-US" sz="1100" baseline="0"/>
        </a:p>
        <a:p>
          <a:r>
            <a:rPr lang="en-US" sz="1100" baseline="0"/>
            <a:t>If more accurate/product specific data is available you can replace NPK values  contained within columns N,O,P. </a:t>
          </a:r>
          <a:endParaRPr lang="en-US" sz="1100"/>
        </a:p>
      </xdr:txBody>
    </xdr:sp>
    <xdr:clientData/>
  </xdr:twoCellAnchor>
  <xdr:oneCellAnchor>
    <xdr:from>
      <xdr:col>13</xdr:col>
      <xdr:colOff>310243</xdr:colOff>
      <xdr:row>184</xdr:row>
      <xdr:rowOff>171450</xdr:rowOff>
    </xdr:from>
    <xdr:ext cx="3116037" cy="1476375"/>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6950418" y="28308300"/>
          <a:ext cx="3116037" cy="14763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t>The NPK values for trees and hedges have been set to zero here.</a:t>
          </a:r>
        </a:p>
        <a:p>
          <a:r>
            <a:rPr lang="en-GB" sz="1100"/>
            <a:t>This is due to lack of data on these and does not imply that they are actually zero.</a:t>
          </a:r>
        </a:p>
        <a:p>
          <a:endParaRPr lang="en-GB" sz="1100"/>
        </a:p>
        <a:p>
          <a:r>
            <a:rPr lang="en-GB" sz="1100"/>
            <a:t>This means that the NPK balance effectively excludes these elements of the farm</a:t>
          </a:r>
        </a:p>
      </xdr:txBody>
    </xdr:sp>
    <xdr:clientData/>
  </xdr:oneCellAnchor>
  <xdr:oneCellAnchor>
    <xdr:from>
      <xdr:col>13</xdr:col>
      <xdr:colOff>200025</xdr:colOff>
      <xdr:row>158</xdr:row>
      <xdr:rowOff>95250</xdr:rowOff>
    </xdr:from>
    <xdr:ext cx="3333750" cy="1537607"/>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6840200" y="23212425"/>
          <a:ext cx="3333750" cy="153760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t>The NPK values for trees and hedges have been set to zero here.</a:t>
          </a:r>
        </a:p>
        <a:p>
          <a:r>
            <a:rPr lang="en-GB" sz="1100"/>
            <a:t>This is due to lack of data on these and does not imply that they are actually zero.</a:t>
          </a:r>
        </a:p>
        <a:p>
          <a:endParaRPr lang="en-GB" sz="1100"/>
        </a:p>
        <a:p>
          <a:r>
            <a:rPr lang="en-GB" sz="1100"/>
            <a:t>This means that the NPK balance effectively excludes these elements of the farm</a:t>
          </a:r>
        </a:p>
      </xdr:txBody>
    </xdr:sp>
    <xdr:clientData/>
  </xdr:oneCellAnchor>
  <xdr:oneCellAnchor>
    <xdr:from>
      <xdr:col>0</xdr:col>
      <xdr:colOff>2956834</xdr:colOff>
      <xdr:row>158</xdr:row>
      <xdr:rowOff>107496</xdr:rowOff>
    </xdr:from>
    <xdr:ext cx="2720066" cy="28575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956834" y="31920996"/>
          <a:ext cx="2720066"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fuel</a:t>
          </a:r>
          <a:endParaRPr lang="en-US" sz="1100"/>
        </a:p>
      </xdr:txBody>
    </xdr:sp>
    <xdr:clientData/>
  </xdr:oneCellAnchor>
  <xdr:oneCellAnchor>
    <xdr:from>
      <xdr:col>0</xdr:col>
      <xdr:colOff>2876550</xdr:colOff>
      <xdr:row>164</xdr:row>
      <xdr:rowOff>117021</xdr:rowOff>
    </xdr:from>
    <xdr:ext cx="2857500" cy="285750"/>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876550" y="33083046"/>
          <a:ext cx="2857500"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timber</a:t>
          </a:r>
          <a:endParaRPr lang="en-US" sz="1100"/>
        </a:p>
      </xdr:txBody>
    </xdr:sp>
    <xdr:clientData/>
  </xdr:oneCellAnchor>
  <xdr:oneCellAnchor>
    <xdr:from>
      <xdr:col>0</xdr:col>
      <xdr:colOff>2766334</xdr:colOff>
      <xdr:row>185</xdr:row>
      <xdr:rowOff>97971</xdr:rowOff>
    </xdr:from>
    <xdr:ext cx="2966356" cy="285750"/>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766334" y="37121646"/>
          <a:ext cx="2966356"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fuel</a:t>
          </a:r>
          <a:endParaRPr lang="en-US" sz="1100"/>
        </a:p>
      </xdr:txBody>
    </xdr:sp>
    <xdr:clientData/>
  </xdr:oneCellAnchor>
  <xdr:oneCellAnchor>
    <xdr:from>
      <xdr:col>0</xdr:col>
      <xdr:colOff>2800350</xdr:colOff>
      <xdr:row>191</xdr:row>
      <xdr:rowOff>107496</xdr:rowOff>
    </xdr:from>
    <xdr:ext cx="2966356" cy="285750"/>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800350" y="38274171"/>
          <a:ext cx="2966356"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timber</a:t>
          </a:r>
          <a:endParaRPr lang="en-US" sz="1100"/>
        </a:p>
      </xdr:txBody>
    </xdr:sp>
    <xdr:clientData/>
  </xdr:oneCellAnchor>
  <xdr:oneCellAnchor>
    <xdr:from>
      <xdr:col>13</xdr:col>
      <xdr:colOff>200025</xdr:colOff>
      <xdr:row>171</xdr:row>
      <xdr:rowOff>85725</xdr:rowOff>
    </xdr:from>
    <xdr:ext cx="3333750" cy="1537607"/>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6840200" y="25736550"/>
          <a:ext cx="3333750" cy="1537607"/>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t>The NPK values for trees and hedges have been set to zero here.</a:t>
          </a:r>
        </a:p>
        <a:p>
          <a:r>
            <a:rPr lang="en-GB" sz="1100"/>
            <a:t>This is due to lack of data on these and does not imply that they are actually zero.</a:t>
          </a:r>
        </a:p>
        <a:p>
          <a:endParaRPr lang="en-GB" sz="1100"/>
        </a:p>
        <a:p>
          <a:r>
            <a:rPr lang="en-GB" sz="1100"/>
            <a:t>This means that the NPK balance effectively excludes these elements of the farm</a:t>
          </a:r>
        </a:p>
      </xdr:txBody>
    </xdr:sp>
    <xdr:clientData/>
  </xdr:oneCellAnchor>
  <xdr:oneCellAnchor>
    <xdr:from>
      <xdr:col>0</xdr:col>
      <xdr:colOff>2785384</xdr:colOff>
      <xdr:row>171</xdr:row>
      <xdr:rowOff>78921</xdr:rowOff>
    </xdr:from>
    <xdr:ext cx="2966356" cy="28575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785384" y="34426071"/>
          <a:ext cx="2966356"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fuel</a:t>
          </a:r>
          <a:endParaRPr lang="en-US" sz="1100"/>
        </a:p>
      </xdr:txBody>
    </xdr:sp>
    <xdr:clientData/>
  </xdr:oneCellAnchor>
  <xdr:oneCellAnchor>
    <xdr:from>
      <xdr:col>0</xdr:col>
      <xdr:colOff>2924175</xdr:colOff>
      <xdr:row>177</xdr:row>
      <xdr:rowOff>107496</xdr:rowOff>
    </xdr:from>
    <xdr:ext cx="2966356" cy="28575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924175" y="35607171"/>
          <a:ext cx="2966356" cy="285750"/>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Leave as 0%</a:t>
          </a:r>
          <a:r>
            <a:rPr lang="en-US" sz="1100" baseline="0"/>
            <a:t> if no biomass harvested for timber</a:t>
          </a:r>
          <a:endParaRPr lang="en-US" sz="1100"/>
        </a:p>
      </xdr:txBody>
    </xdr:sp>
    <xdr:clientData/>
  </xdr:oneCellAnchor>
  <xdr:twoCellAnchor>
    <xdr:from>
      <xdr:col>0</xdr:col>
      <xdr:colOff>1466848</xdr:colOff>
      <xdr:row>0</xdr:row>
      <xdr:rowOff>9524</xdr:rowOff>
    </xdr:from>
    <xdr:to>
      <xdr:col>1</xdr:col>
      <xdr:colOff>1524000</xdr:colOff>
      <xdr:row>13</xdr:row>
      <xdr:rowOff>161925</xdr:rowOff>
    </xdr:to>
    <xdr:sp macro="" textlink="">
      <xdr:nvSpPr>
        <xdr:cNvPr id="24" name="TextBox 23">
          <a:extLst>
            <a:ext uri="{FF2B5EF4-FFF2-40B4-BE49-F238E27FC236}">
              <a16:creationId xmlns:a16="http://schemas.microsoft.com/office/drawing/2014/main" id="{6931D14C-A88F-4FE8-BAAB-C27BC82F32FD}"/>
            </a:ext>
          </a:extLst>
        </xdr:cNvPr>
        <xdr:cNvSpPr txBox="1"/>
      </xdr:nvSpPr>
      <xdr:spPr>
        <a:xfrm>
          <a:off x="1466848" y="9524"/>
          <a:ext cx="5638802" cy="26289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Initial</a:t>
          </a:r>
          <a:r>
            <a:rPr lang="en-US" sz="1800" b="1" baseline="0">
              <a:solidFill>
                <a:srgbClr val="92D050"/>
              </a:solidFill>
            </a:rPr>
            <a:t> data collection</a:t>
          </a:r>
          <a:endParaRPr lang="en-US" sz="1800" b="1">
            <a:solidFill>
              <a:srgbClr val="92D050"/>
            </a:solidFill>
          </a:endParaRPr>
        </a:p>
        <a:p>
          <a:r>
            <a:rPr lang="en-US" sz="1100" i="1" baseline="0">
              <a:solidFill>
                <a:schemeClr val="dk1"/>
              </a:solidFill>
              <a:effectLst/>
              <a:latin typeface="+mn-lt"/>
              <a:ea typeface="+mn-ea"/>
              <a:cs typeface="+mn-cs"/>
            </a:rPr>
            <a:t>This sheet collects data on your farm, including crops grown (hectares, yields, exports), livestock (numbers, imports and exports), farm woodland and agroforestry, animal feeds (imports and exports), and organic and inorganic fertilisers during a 12 month period. The 12 month period can be a calendar year, a financial year or from harvest to harvest; whichever you choose, it is very important to use this 12 month period consistently throughout your data entry. Enter data in the white cells. Energy and NPK contents are shown in columns K to P, these are standard figures taken from literature (references can be seen in the Instructions and Information sheet). For woodland and agroforestry, soil and biomass carbon and total C and CO</a:t>
          </a:r>
          <a:r>
            <a:rPr lang="en-US" sz="1100" i="1" baseline="-25000">
              <a:solidFill>
                <a:schemeClr val="dk1"/>
              </a:solidFill>
              <a:effectLst/>
              <a:latin typeface="+mn-lt"/>
              <a:ea typeface="+mn-ea"/>
              <a:cs typeface="+mn-cs"/>
            </a:rPr>
            <a:t>2 </a:t>
          </a:r>
          <a:r>
            <a:rPr lang="en-US" sz="1100" i="1" baseline="0">
              <a:solidFill>
                <a:schemeClr val="dk1"/>
              </a:solidFill>
              <a:effectLst/>
              <a:latin typeface="+mn-lt"/>
              <a:ea typeface="+mn-ea"/>
              <a:cs typeface="+mn-cs"/>
            </a:rPr>
            <a:t>is shown in Columns Q to T.</a:t>
          </a:r>
        </a:p>
        <a:p>
          <a:r>
            <a:rPr lang="en-US" sz="1100" b="1" i="1">
              <a:solidFill>
                <a:schemeClr val="dk1"/>
              </a:solidFill>
              <a:effectLst/>
              <a:latin typeface="+mn-lt"/>
              <a:ea typeface="+mn-ea"/>
              <a:cs typeface="+mn-cs"/>
            </a:rPr>
            <a:t>Please note: </a:t>
          </a:r>
          <a:r>
            <a:rPr lang="en-US" sz="1100" i="1">
              <a:solidFill>
                <a:schemeClr val="dk1"/>
              </a:solidFill>
              <a:effectLst/>
              <a:latin typeface="+mn-lt"/>
              <a:ea typeface="+mn-ea"/>
              <a:cs typeface="+mn-cs"/>
            </a:rPr>
            <a:t>The data input on this sheet are on a farm-gate basis. i.e if  wheat</a:t>
          </a:r>
          <a:r>
            <a:rPr lang="en-US" sz="1100" i="1" baseline="0">
              <a:solidFill>
                <a:schemeClr val="dk1"/>
              </a:solidFill>
              <a:effectLst/>
              <a:latin typeface="+mn-lt"/>
              <a:ea typeface="+mn-ea"/>
              <a:cs typeface="+mn-cs"/>
            </a:rPr>
            <a:t> is grown for feed and used on the farm then it is not added to the export column or the import column although it is shown in the hectare and yield columns.</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Where weights are required these are fresh weights.</a:t>
          </a:r>
          <a:endParaRPr lang="en-GB">
            <a:effectLst/>
          </a:endParaRPr>
        </a:p>
        <a:p>
          <a:endParaRPr lang="en-US" sz="1100" i="1" baseline="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0</xdr:col>
      <xdr:colOff>1476374</xdr:colOff>
      <xdr:row>7</xdr:row>
      <xdr:rowOff>104774</xdr:rowOff>
    </xdr:to>
    <xdr:pic>
      <xdr:nvPicPr>
        <xdr:cNvPr id="25" name="Picture 24">
          <a:extLst>
            <a:ext uri="{FF2B5EF4-FFF2-40B4-BE49-F238E27FC236}">
              <a16:creationId xmlns:a16="http://schemas.microsoft.com/office/drawing/2014/main" id="{8FA1C1AD-7739-4C42-ACA3-5B6F1512E75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476374" cy="1438274"/>
        </a:xfrm>
        <a:prstGeom prst="rect">
          <a:avLst/>
        </a:prstGeom>
        <a:ln>
          <a:noFill/>
        </a:ln>
        <a:extLst>
          <a:ext uri="{53640926-AAD7-44D8-BBD7-CCE9431645EC}">
            <a14:shadowObscured xmlns:a14="http://schemas.microsoft.com/office/drawing/2010/main"/>
          </a:ext>
        </a:extLst>
      </xdr:spPr>
    </xdr:pic>
    <xdr:clientData/>
  </xdr:twoCellAnchor>
  <xdr:oneCellAnchor>
    <xdr:from>
      <xdr:col>3</xdr:col>
      <xdr:colOff>104775</xdr:colOff>
      <xdr:row>170</xdr:row>
      <xdr:rowOff>85724</xdr:rowOff>
    </xdr:from>
    <xdr:ext cx="2966356" cy="838201"/>
    <xdr:sp macro="" textlink="">
      <xdr:nvSpPr>
        <xdr:cNvPr id="22" name="TextBox 21">
          <a:extLst>
            <a:ext uri="{FF2B5EF4-FFF2-40B4-BE49-F238E27FC236}">
              <a16:creationId xmlns:a16="http://schemas.microsoft.com/office/drawing/2014/main" id="{5DC7A520-7C2C-411C-88D0-6D9A18F8A0D8}"/>
            </a:ext>
          </a:extLst>
        </xdr:cNvPr>
        <xdr:cNvSpPr txBox="1"/>
      </xdr:nvSpPr>
      <xdr:spPr>
        <a:xfrm>
          <a:off x="7781925" y="34242374"/>
          <a:ext cx="2966356" cy="8382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If you harvest woodfuel and/or</a:t>
          </a:r>
          <a:r>
            <a:rPr lang="en-US" sz="1100" baseline="0"/>
            <a:t> timber from</a:t>
          </a:r>
          <a:r>
            <a:rPr lang="en-US" sz="1100"/>
            <a:t> your</a:t>
          </a:r>
          <a:r>
            <a:rPr lang="en-US" sz="1100" baseline="0"/>
            <a:t> fruit/olive trees, please add the yield to cell I173 (woodfuel) and cell I179, but do not include this area within B169 or B175.  </a:t>
          </a:r>
          <a:endParaRPr lang="en-US" sz="1100"/>
        </a:p>
      </xdr:txBody>
    </xdr:sp>
    <xdr:clientData/>
  </xdr:oneCellAnchor>
  <xdr:twoCellAnchor>
    <xdr:from>
      <xdr:col>3</xdr:col>
      <xdr:colOff>342900</xdr:colOff>
      <xdr:row>323</xdr:row>
      <xdr:rowOff>180975</xdr:rowOff>
    </xdr:from>
    <xdr:to>
      <xdr:col>6</xdr:col>
      <xdr:colOff>542925</xdr:colOff>
      <xdr:row>330</xdr:row>
      <xdr:rowOff>0</xdr:rowOff>
    </xdr:to>
    <xdr:sp macro="" textlink="">
      <xdr:nvSpPr>
        <xdr:cNvPr id="23" name="TextBox 22">
          <a:extLst>
            <a:ext uri="{FF2B5EF4-FFF2-40B4-BE49-F238E27FC236}">
              <a16:creationId xmlns:a16="http://schemas.microsoft.com/office/drawing/2014/main" id="{744EC2E4-D423-4002-9CD5-839562A89B27}"/>
            </a:ext>
          </a:extLst>
        </xdr:cNvPr>
        <xdr:cNvSpPr txBox="1"/>
      </xdr:nvSpPr>
      <xdr:spPr>
        <a:xfrm>
          <a:off x="8020050" y="58778775"/>
          <a:ext cx="2676525" cy="11525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Please note:  </a:t>
          </a:r>
          <a:r>
            <a:rPr lang="en-US" sz="1100"/>
            <a:t>NPK</a:t>
          </a:r>
          <a:r>
            <a:rPr lang="en-US" sz="1100" baseline="0"/>
            <a:t> contents for fertilisers are derived from standard data.</a:t>
          </a:r>
        </a:p>
        <a:p>
          <a:endParaRPr lang="en-US" sz="1100" baseline="0"/>
        </a:p>
        <a:p>
          <a:r>
            <a:rPr lang="en-US" sz="1100" baseline="0"/>
            <a:t>If more accurate/product specific data is available you can replace NPK values  contained within columns N,O,P. </a:t>
          </a:r>
          <a:endParaRPr lang="en-US" sz="1100"/>
        </a:p>
      </xdr:txBody>
    </xdr:sp>
    <xdr:clientData/>
  </xdr:twoCellAnchor>
  <xdr:twoCellAnchor editAs="oneCell">
    <xdr:from>
      <xdr:col>2</xdr:col>
      <xdr:colOff>390525</xdr:colOff>
      <xdr:row>14</xdr:row>
      <xdr:rowOff>9525</xdr:rowOff>
    </xdr:from>
    <xdr:to>
      <xdr:col>7</xdr:col>
      <xdr:colOff>485775</xdr:colOff>
      <xdr:row>24</xdr:row>
      <xdr:rowOff>47625</xdr:rowOff>
    </xdr:to>
    <xdr:pic>
      <xdr:nvPicPr>
        <xdr:cNvPr id="27" name="Picture 26">
          <a:extLst>
            <a:ext uri="{FF2B5EF4-FFF2-40B4-BE49-F238E27FC236}">
              <a16:creationId xmlns:a16="http://schemas.microsoft.com/office/drawing/2014/main" id="{8DDD0461-8ACD-4D1F-9AAD-6A7E6C0198B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15225" y="2686050"/>
          <a:ext cx="3857625" cy="21050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1266824</xdr:colOff>
      <xdr:row>0</xdr:row>
      <xdr:rowOff>0</xdr:rowOff>
    </xdr:from>
    <xdr:to>
      <xdr:col>3</xdr:col>
      <xdr:colOff>38100</xdr:colOff>
      <xdr:row>6</xdr:row>
      <xdr:rowOff>161925</xdr:rowOff>
    </xdr:to>
    <xdr:sp macro="" textlink="">
      <xdr:nvSpPr>
        <xdr:cNvPr id="4" name="TextBox 3">
          <a:extLst>
            <a:ext uri="{FF2B5EF4-FFF2-40B4-BE49-F238E27FC236}">
              <a16:creationId xmlns:a16="http://schemas.microsoft.com/office/drawing/2014/main" id="{197D9EE5-CA84-4A0F-9A29-655C08F2385B}"/>
            </a:ext>
          </a:extLst>
        </xdr:cNvPr>
        <xdr:cNvSpPr txBox="1"/>
      </xdr:nvSpPr>
      <xdr:spPr>
        <a:xfrm>
          <a:off x="1266824" y="0"/>
          <a:ext cx="5200651" cy="13049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Soil</a:t>
          </a:r>
          <a:r>
            <a:rPr lang="en-US" sz="1800" b="1" baseline="0">
              <a:solidFill>
                <a:srgbClr val="92D050"/>
              </a:solidFill>
            </a:rPr>
            <a:t> Management</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of soil management;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0</xdr:col>
      <xdr:colOff>0</xdr:colOff>
      <xdr:row>0</xdr:row>
      <xdr:rowOff>0</xdr:rowOff>
    </xdr:from>
    <xdr:to>
      <xdr:col>0</xdr:col>
      <xdr:colOff>1304925</xdr:colOff>
      <xdr:row>6</xdr:row>
      <xdr:rowOff>133350</xdr:rowOff>
    </xdr:to>
    <xdr:pic>
      <xdr:nvPicPr>
        <xdr:cNvPr id="5" name="Picture 4">
          <a:extLst>
            <a:ext uri="{FF2B5EF4-FFF2-40B4-BE49-F238E27FC236}">
              <a16:creationId xmlns:a16="http://schemas.microsoft.com/office/drawing/2014/main" id="{D55D34DB-EF3A-45BE-B9B7-4A2C102C3DC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304925" cy="1276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47625</xdr:colOff>
      <xdr:row>16</xdr:row>
      <xdr:rowOff>57150</xdr:rowOff>
    </xdr:from>
    <xdr:to>
      <xdr:col>8</xdr:col>
      <xdr:colOff>638175</xdr:colOff>
      <xdr:row>26</xdr:row>
      <xdr:rowOff>123825</xdr:rowOff>
    </xdr:to>
    <xdr:pic>
      <xdr:nvPicPr>
        <xdr:cNvPr id="6" name="Picture 5">
          <a:extLst>
            <a:ext uri="{FF2B5EF4-FFF2-40B4-BE49-F238E27FC236}">
              <a16:creationId xmlns:a16="http://schemas.microsoft.com/office/drawing/2014/main" id="{3268BB18-A325-4DDF-A066-62BB603AB54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9950" y="4695825"/>
          <a:ext cx="3857625" cy="21050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1400175</xdr:colOff>
      <xdr:row>0</xdr:row>
      <xdr:rowOff>57150</xdr:rowOff>
    </xdr:from>
    <xdr:to>
      <xdr:col>3</xdr:col>
      <xdr:colOff>9525</xdr:colOff>
      <xdr:row>6</xdr:row>
      <xdr:rowOff>152400</xdr:rowOff>
    </xdr:to>
    <xdr:sp macro="" textlink="">
      <xdr:nvSpPr>
        <xdr:cNvPr id="4" name="TextBox 3">
          <a:extLst>
            <a:ext uri="{FF2B5EF4-FFF2-40B4-BE49-F238E27FC236}">
              <a16:creationId xmlns:a16="http://schemas.microsoft.com/office/drawing/2014/main" id="{AFE975EC-DE50-4A7F-B37C-69F69E26BBF8}"/>
            </a:ext>
          </a:extLst>
        </xdr:cNvPr>
        <xdr:cNvSpPr txBox="1"/>
      </xdr:nvSpPr>
      <xdr:spPr>
        <a:xfrm>
          <a:off x="1400175" y="57150"/>
          <a:ext cx="6886575" cy="1238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Landscape</a:t>
          </a:r>
          <a:r>
            <a:rPr lang="en-US" sz="1800" b="1" baseline="0">
              <a:solidFill>
                <a:srgbClr val="92D050"/>
              </a:solidFill>
            </a:rPr>
            <a:t> and heritage features</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of landscape management, historic features and genetic heritage of livestock;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0</xdr:col>
      <xdr:colOff>0</xdr:colOff>
      <xdr:row>0</xdr:row>
      <xdr:rowOff>0</xdr:rowOff>
    </xdr:from>
    <xdr:to>
      <xdr:col>0</xdr:col>
      <xdr:colOff>1333500</xdr:colOff>
      <xdr:row>6</xdr:row>
      <xdr:rowOff>152400</xdr:rowOff>
    </xdr:to>
    <xdr:pic>
      <xdr:nvPicPr>
        <xdr:cNvPr id="5" name="Picture 4">
          <a:extLst>
            <a:ext uri="{FF2B5EF4-FFF2-40B4-BE49-F238E27FC236}">
              <a16:creationId xmlns:a16="http://schemas.microsoft.com/office/drawing/2014/main" id="{78541CDE-1755-4E52-BA1F-3C230230F85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333500" cy="1295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0</xdr:colOff>
      <xdr:row>15</xdr:row>
      <xdr:rowOff>0</xdr:rowOff>
    </xdr:from>
    <xdr:to>
      <xdr:col>7</xdr:col>
      <xdr:colOff>1552575</xdr:colOff>
      <xdr:row>21</xdr:row>
      <xdr:rowOff>133350</xdr:rowOff>
    </xdr:to>
    <xdr:pic>
      <xdr:nvPicPr>
        <xdr:cNvPr id="7" name="Picture 6">
          <a:extLst>
            <a:ext uri="{FF2B5EF4-FFF2-40B4-BE49-F238E27FC236}">
              <a16:creationId xmlns:a16="http://schemas.microsoft.com/office/drawing/2014/main" id="{6C4A692B-9715-4436-ABE5-07E0EDBFE7B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10550" y="4810125"/>
          <a:ext cx="3857625" cy="21050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152401</xdr:colOff>
      <xdr:row>7</xdr:row>
      <xdr:rowOff>1</xdr:rowOff>
    </xdr:from>
    <xdr:to>
      <xdr:col>13</xdr:col>
      <xdr:colOff>2362200</xdr:colOff>
      <xdr:row>17</xdr:row>
      <xdr:rowOff>76201</xdr:rowOff>
    </xdr:to>
    <xdr:sp macro="" textlink="">
      <xdr:nvSpPr>
        <xdr:cNvPr id="5" name="TextBox 4">
          <a:extLst>
            <a:ext uri="{FF2B5EF4-FFF2-40B4-BE49-F238E27FC236}">
              <a16:creationId xmlns:a16="http://schemas.microsoft.com/office/drawing/2014/main" id="{5A4DC291-199D-4ACB-83A4-F10BD76E5DA9}"/>
            </a:ext>
          </a:extLst>
        </xdr:cNvPr>
        <xdr:cNvSpPr txBox="1"/>
      </xdr:nvSpPr>
      <xdr:spPr>
        <a:xfrm>
          <a:off x="8810626" y="1343026"/>
          <a:ext cx="6867524" cy="2419350"/>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GUIDANCE FO</a:t>
          </a:r>
          <a:r>
            <a:rPr lang="en-US" sz="1100" b="1" baseline="0"/>
            <a:t>R NPK BALANCE SCORES</a:t>
          </a:r>
          <a:endParaRPr lang="en-US" sz="1100" b="1"/>
        </a:p>
        <a:p>
          <a:r>
            <a:rPr lang="en-US" sz="1100" b="1"/>
            <a:t>Nitrogen: </a:t>
          </a:r>
          <a:r>
            <a:rPr lang="en-US" sz="1100"/>
            <a:t>The ideal surplus for N should be around 30kg N/ha/year.  Surpluses significantly greater than 30kg of N per hectare per year may indicate that the farm is at pollution risk.</a:t>
          </a:r>
        </a:p>
        <a:p>
          <a:r>
            <a:rPr lang="en-US" sz="1100" b="1"/>
            <a:t>Phosphorus: </a:t>
          </a:r>
          <a:r>
            <a:rPr lang="en-US" sz="1100"/>
            <a:t>P should show a surplus of close to zero; long term depletion of P and K should be avoided where possible</a:t>
          </a:r>
        </a:p>
        <a:p>
          <a:r>
            <a:rPr lang="en-US" sz="1100" b="1"/>
            <a:t>Potassium:</a:t>
          </a:r>
          <a:r>
            <a:rPr lang="en-US" sz="1100" b="1" baseline="0"/>
            <a:t> </a:t>
          </a:r>
          <a:r>
            <a:rPr lang="en-US" sz="1100" baseline="0"/>
            <a:t>K</a:t>
          </a:r>
          <a:r>
            <a:rPr lang="en-US" sz="1100"/>
            <a:t> should show a surplus of close to zero, long term depletion of P and K should be avoided where possible</a:t>
          </a:r>
        </a:p>
        <a:p>
          <a:endParaRPr lang="en-US" sz="1100" b="1"/>
        </a:p>
        <a:p>
          <a:r>
            <a:rPr lang="en-US" sz="1100" b="1"/>
            <a:t>Nitrogen kg/ha			</a:t>
          </a:r>
          <a:r>
            <a:rPr lang="en-US" sz="1100" b="1" i="0">
              <a:solidFill>
                <a:schemeClr val="dk1"/>
              </a:solidFill>
              <a:latin typeface="+mn-lt"/>
              <a:ea typeface="+mn-ea"/>
              <a:cs typeface="+mn-cs"/>
            </a:rPr>
            <a:t>Phosphorus and Potassium kg/ha</a:t>
          </a: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mn-lt"/>
              <a:ea typeface="+mn-ea"/>
              <a:cs typeface="+mn-cs"/>
            </a:rPr>
            <a:t>0-50 kg/ha: 		5</a:t>
          </a:r>
          <a:r>
            <a:rPr lang="en-US"/>
            <a:t> </a:t>
          </a:r>
          <a:r>
            <a:rPr lang="en-US" sz="1100" b="0" i="0" u="none" strike="noStrike">
              <a:solidFill>
                <a:schemeClr val="dk1"/>
              </a:solidFill>
              <a:latin typeface="+mn-lt"/>
              <a:ea typeface="+mn-ea"/>
              <a:cs typeface="+mn-cs"/>
            </a:rPr>
            <a:t> </a:t>
          </a:r>
          <a:r>
            <a:rPr lang="en-US"/>
            <a:t> 	S</a:t>
          </a:r>
          <a:r>
            <a:rPr lang="en-US" sz="1100" b="0" i="0" baseline="0">
              <a:solidFill>
                <a:schemeClr val="dk1"/>
              </a:solidFill>
              <a:latin typeface="+mn-lt"/>
              <a:ea typeface="+mn-ea"/>
              <a:cs typeface="+mn-cs"/>
            </a:rPr>
            <a:t>urplus/deficit less than 5kg/ha:		                             5</a:t>
          </a:r>
          <a:endParaRPr lang="en-US"/>
        </a:p>
        <a:p>
          <a:pPr marL="0" marR="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mn-lt"/>
              <a:ea typeface="+mn-ea"/>
              <a:cs typeface="+mn-cs"/>
            </a:rPr>
            <a:t>50-70 kg/ha: 		4	Surplus/defcit</a:t>
          </a:r>
          <a:r>
            <a:rPr lang="en-US" sz="1100" b="0" i="0" u="none" strike="noStrike" baseline="0">
              <a:solidFill>
                <a:schemeClr val="dk1"/>
              </a:solidFill>
              <a:latin typeface="+mn-lt"/>
              <a:ea typeface="+mn-ea"/>
              <a:cs typeface="+mn-cs"/>
            </a:rPr>
            <a:t> of greater than 5kg/ha, less than 10kg/ha:</a:t>
          </a:r>
          <a:r>
            <a:rPr lang="en-US" sz="1100" b="0" i="0" baseline="0">
              <a:solidFill>
                <a:schemeClr val="dk1"/>
              </a:solidFill>
              <a:latin typeface="+mn-lt"/>
              <a:ea typeface="+mn-ea"/>
              <a:cs typeface="+mn-cs"/>
            </a:rPr>
            <a:t>	3</a:t>
          </a:r>
          <a:endParaRPr lang="en-US" sz="1100" b="0" i="0" u="none" strike="noStrike">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latin typeface="+mn-lt"/>
              <a:ea typeface="+mn-ea"/>
              <a:cs typeface="+mn-cs"/>
            </a:rPr>
            <a:t>70-90</a:t>
          </a:r>
          <a:r>
            <a:rPr lang="en-US" sz="1100" b="0" i="0" u="none" strike="noStrike" baseline="0">
              <a:solidFill>
                <a:schemeClr val="dk1"/>
              </a:solidFill>
              <a:latin typeface="+mn-lt"/>
              <a:ea typeface="+mn-ea"/>
              <a:cs typeface="+mn-cs"/>
            </a:rPr>
            <a:t> kg/ha: 		3	S</a:t>
          </a:r>
          <a:r>
            <a:rPr lang="en-US" sz="1100" b="0" i="0" baseline="0">
              <a:solidFill>
                <a:schemeClr val="dk1"/>
              </a:solidFill>
              <a:latin typeface="+mn-lt"/>
              <a:ea typeface="+mn-ea"/>
              <a:cs typeface="+mn-cs"/>
            </a:rPr>
            <a:t>urplus/deficit of greater than 10 kg/ha:		1</a:t>
          </a:r>
          <a:endParaRPr lang="en-US" sz="1100" b="0" i="0" u="none" strike="noStrike" baseline="0">
            <a:solidFill>
              <a:schemeClr val="dk1"/>
            </a:solidFill>
            <a:latin typeface="+mn-lt"/>
            <a:ea typeface="+mn-ea"/>
            <a:cs typeface="+mn-cs"/>
          </a:endParaRPr>
        </a:p>
        <a:p>
          <a:r>
            <a:rPr lang="en-US" sz="1100" b="0" i="0" u="none" strike="noStrike">
              <a:solidFill>
                <a:schemeClr val="dk1"/>
              </a:solidFill>
              <a:latin typeface="+mn-lt"/>
              <a:ea typeface="+mn-ea"/>
              <a:cs typeface="+mn-cs"/>
            </a:rPr>
            <a:t>90-110 kg/ha</a:t>
          </a:r>
          <a:r>
            <a:rPr lang="en-US"/>
            <a:t> 		</a:t>
          </a:r>
          <a:r>
            <a:rPr lang="en-US" sz="1100" b="0" i="0" u="none" strike="noStrike">
              <a:solidFill>
                <a:schemeClr val="dk1"/>
              </a:solidFill>
              <a:latin typeface="+mn-lt"/>
              <a:ea typeface="+mn-ea"/>
              <a:cs typeface="+mn-cs"/>
            </a:rPr>
            <a:t>2</a:t>
          </a:r>
          <a:r>
            <a:rPr lang="en-US"/>
            <a:t> </a:t>
          </a:r>
        </a:p>
        <a:p>
          <a:r>
            <a:rPr lang="en-US" sz="1100" b="0" i="0" u="none" strike="noStrike">
              <a:solidFill>
                <a:schemeClr val="dk1"/>
              </a:solidFill>
              <a:latin typeface="+mn-lt"/>
              <a:ea typeface="+mn-ea"/>
              <a:cs typeface="+mn-cs"/>
            </a:rPr>
            <a:t>110-130 kg/ha plus+	1 </a:t>
          </a:r>
          <a:endParaRPr lang="en-US" sz="1100" b="1" i="0" u="none" strike="noStrike">
            <a:solidFill>
              <a:schemeClr val="dk1"/>
            </a:solidFill>
            <a:latin typeface="+mn-lt"/>
            <a:ea typeface="+mn-ea"/>
            <a:cs typeface="+mn-cs"/>
          </a:endParaRPr>
        </a:p>
        <a:p>
          <a:endParaRPr lang="en-US" sz="1100" i="1"/>
        </a:p>
      </xdr:txBody>
    </xdr:sp>
    <xdr:clientData/>
  </xdr:twoCellAnchor>
  <xdr:twoCellAnchor>
    <xdr:from>
      <xdr:col>0</xdr:col>
      <xdr:colOff>1466850</xdr:colOff>
      <xdr:row>0</xdr:row>
      <xdr:rowOff>9524</xdr:rowOff>
    </xdr:from>
    <xdr:to>
      <xdr:col>10</xdr:col>
      <xdr:colOff>9524</xdr:colOff>
      <xdr:row>6</xdr:row>
      <xdr:rowOff>171449</xdr:rowOff>
    </xdr:to>
    <xdr:sp macro="" textlink="">
      <xdr:nvSpPr>
        <xdr:cNvPr id="7" name="TextBox 6">
          <a:extLst>
            <a:ext uri="{FF2B5EF4-FFF2-40B4-BE49-F238E27FC236}">
              <a16:creationId xmlns:a16="http://schemas.microsoft.com/office/drawing/2014/main" id="{04BA8EB2-AC9A-4C7A-BEF2-699035E1B90D}"/>
            </a:ext>
          </a:extLst>
        </xdr:cNvPr>
        <xdr:cNvSpPr txBox="1"/>
      </xdr:nvSpPr>
      <xdr:spPr>
        <a:xfrm>
          <a:off x="1466850" y="9524"/>
          <a:ext cx="7200899" cy="13049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NPK budget</a:t>
          </a: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You don´t need to enter any data within this sheet. </a:t>
          </a:r>
          <a:r>
            <a:rPr lang="en-US" sz="1100" i="1"/>
            <a:t>This sheet automatically calculates your farm-gate NPK </a:t>
          </a:r>
          <a:r>
            <a:rPr lang="en-US" sz="1100" i="1" baseline="0"/>
            <a:t> ratios based on data entered in the Initial data collection sheet of the imports and exports of crops and livestock and their associated NPK contents. The Score is based on surpluses or deficits of NPK.</a:t>
          </a:r>
        </a:p>
        <a:p>
          <a:r>
            <a:rPr lang="en-US" sz="1100" i="1" baseline="0"/>
            <a:t>The NPK balance of the individual crops and livestock are shown below so you can identify where any imbalances occur.</a:t>
          </a:r>
          <a:endParaRPr lang="en-US" sz="1100" i="1"/>
        </a:p>
      </xdr:txBody>
    </xdr:sp>
    <xdr:clientData/>
  </xdr:twoCellAnchor>
  <xdr:twoCellAnchor editAs="oneCell">
    <xdr:from>
      <xdr:col>0</xdr:col>
      <xdr:colOff>1</xdr:colOff>
      <xdr:row>0</xdr:row>
      <xdr:rowOff>0</xdr:rowOff>
    </xdr:from>
    <xdr:to>
      <xdr:col>0</xdr:col>
      <xdr:colOff>1419225</xdr:colOff>
      <xdr:row>6</xdr:row>
      <xdr:rowOff>161924</xdr:rowOff>
    </xdr:to>
    <xdr:pic>
      <xdr:nvPicPr>
        <xdr:cNvPr id="8" name="Picture 7">
          <a:extLst>
            <a:ext uri="{FF2B5EF4-FFF2-40B4-BE49-F238E27FC236}">
              <a16:creationId xmlns:a16="http://schemas.microsoft.com/office/drawing/2014/main" id="{A57DE5A1-3A7A-4B55-B11D-CBB46DFAE92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1" y="0"/>
          <a:ext cx="1419224" cy="13049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0</xdr:colOff>
      <xdr:row>19</xdr:row>
      <xdr:rowOff>0</xdr:rowOff>
    </xdr:from>
    <xdr:to>
      <xdr:col>12</xdr:col>
      <xdr:colOff>1238250</xdr:colOff>
      <xdr:row>30</xdr:row>
      <xdr:rowOff>76200</xdr:rowOff>
    </xdr:to>
    <xdr:pic>
      <xdr:nvPicPr>
        <xdr:cNvPr id="9" name="Picture 8">
          <a:extLst>
            <a:ext uri="{FF2B5EF4-FFF2-40B4-BE49-F238E27FC236}">
              <a16:creationId xmlns:a16="http://schemas.microsoft.com/office/drawing/2014/main" id="{3E3D345E-D6C1-4E25-93BF-750FCF6FA35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8225" y="4048125"/>
          <a:ext cx="3857625" cy="21050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504825</xdr:colOff>
      <xdr:row>81</xdr:row>
      <xdr:rowOff>28575</xdr:rowOff>
    </xdr:from>
    <xdr:to>
      <xdr:col>8</xdr:col>
      <xdr:colOff>419100</xdr:colOff>
      <xdr:row>83</xdr:row>
      <xdr:rowOff>76200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648325" y="14287500"/>
          <a:ext cx="2638425" cy="7334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Energy use figures</a:t>
          </a:r>
          <a:r>
            <a:rPr lang="en-US" sz="1100" baseline="0"/>
            <a:t> based on Contractor data from the CALM calculator</a:t>
          </a:r>
          <a:endParaRPr lang="en-US" sz="1100"/>
        </a:p>
      </xdr:txBody>
    </xdr:sp>
    <xdr:clientData/>
  </xdr:twoCellAnchor>
  <xdr:twoCellAnchor>
    <xdr:from>
      <xdr:col>0</xdr:col>
      <xdr:colOff>76200</xdr:colOff>
      <xdr:row>30</xdr:row>
      <xdr:rowOff>64770</xdr:rowOff>
    </xdr:from>
    <xdr:to>
      <xdr:col>5</xdr:col>
      <xdr:colOff>220980</xdr:colOff>
      <xdr:row>45</xdr:row>
      <xdr:rowOff>38100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76200" y="6560820"/>
          <a:ext cx="5964555" cy="2830830"/>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b="1"/>
            <a:t>Please note:</a:t>
          </a:r>
          <a:r>
            <a:rPr lang="en-US" b="1" baseline="0"/>
            <a:t> </a:t>
          </a:r>
          <a:endParaRPr lang="en-US" b="1"/>
        </a:p>
        <a:p>
          <a:r>
            <a:rPr lang="en-US"/>
            <a:t>*</a:t>
          </a:r>
          <a:r>
            <a:rPr lang="en-US" baseline="0"/>
            <a:t> If the farm electricity meter includes domestic property(s) then please use the g</a:t>
          </a:r>
          <a:r>
            <a:rPr lang="en-US"/>
            <a:t>uidelines</a:t>
          </a:r>
          <a:r>
            <a:rPr lang="en-US" baseline="0"/>
            <a:t> below to estimate domestic use and subtract from the total figure:</a:t>
          </a:r>
          <a:endParaRPr lang="en-US"/>
        </a:p>
        <a:p>
          <a:endParaRPr lang="en-US"/>
        </a:p>
        <a:p>
          <a:r>
            <a:rPr lang="en-US" b="1"/>
            <a:t>Average</a:t>
          </a:r>
          <a:r>
            <a:rPr lang="en-US" b="1" baseline="0"/>
            <a:t> household electricity consumption:</a:t>
          </a:r>
          <a:endParaRPr lang="en-US" b="1"/>
        </a:p>
        <a:p>
          <a:r>
            <a:rPr lang="en-US"/>
            <a:t>1. Working Couple - 4,117 kWh electricity/year</a:t>
          </a:r>
          <a:br>
            <a:rPr lang="en-US"/>
          </a:br>
          <a:r>
            <a:rPr lang="en-US"/>
            <a:t>2. Single Person - 3,084 kWh electricity/year</a:t>
          </a:r>
          <a:br>
            <a:rPr lang="en-US"/>
          </a:br>
          <a:r>
            <a:rPr lang="en-US"/>
            <a:t>3. Family with two children - 5,480 kWh electricity/year</a:t>
          </a:r>
          <a:br>
            <a:rPr lang="en-US"/>
          </a:br>
          <a:endParaRPr lang="en-US"/>
        </a:p>
        <a:p>
          <a:r>
            <a:rPr lang="en-US" sz="1100" i="0"/>
            <a:t>Source:</a:t>
          </a:r>
          <a:r>
            <a:rPr lang="en-US" sz="1100" i="0" baseline="0"/>
            <a:t> http://www.esru.strath.ac.uk/EandE/Web_sites/01-02/RE_info/hec.htm</a:t>
          </a:r>
        </a:p>
        <a:p>
          <a:endParaRPr lang="en-US" sz="1100" i="0" baseline="0"/>
        </a:p>
        <a:p>
          <a:r>
            <a:rPr lang="en-US" sz="1100" i="0" baseline="0"/>
            <a:t>Alternatively, using an electricity bill, estimate the average annual consumption eg:</a:t>
          </a:r>
        </a:p>
        <a:p>
          <a:endParaRPr lang="en-US" sz="1100" i="0" baseline="0"/>
        </a:p>
        <a:p>
          <a:r>
            <a:rPr lang="en-US" sz="1100" i="0" baseline="0"/>
            <a:t>Electricity bill states that 1,068 kWh were used over 92 day period.</a:t>
          </a:r>
        </a:p>
        <a:p>
          <a:r>
            <a:rPr lang="en-US" sz="1100" i="0" baseline="0"/>
            <a:t>	1.  Calculate % of the year 92 / 365 = 25.2% (365 days in the year)</a:t>
          </a:r>
        </a:p>
        <a:p>
          <a:r>
            <a:rPr lang="en-US" sz="1100" i="0" baseline="0"/>
            <a:t>	2.  Calculate yearly total 1,068 kWh x (100/25.2) = </a:t>
          </a:r>
          <a:r>
            <a:rPr lang="en-US" sz="1100" b="1" i="0" baseline="0"/>
            <a:t>4238 kWh annual consumption</a:t>
          </a:r>
        </a:p>
      </xdr:txBody>
    </xdr:sp>
    <xdr:clientData/>
  </xdr:twoCellAnchor>
  <xdr:oneCellAnchor>
    <xdr:from>
      <xdr:col>5</xdr:col>
      <xdr:colOff>314326</xdr:colOff>
      <xdr:row>30</xdr:row>
      <xdr:rowOff>76199</xdr:rowOff>
    </xdr:from>
    <xdr:ext cx="4600574" cy="7305676"/>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6134101" y="6572249"/>
          <a:ext cx="4600574" cy="7305676"/>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 If the contractor is paid by the job and the farmer is unaware of the hours and horsepower used the following data taken from Nix (2011) can be used to</a:t>
          </a:r>
          <a:r>
            <a:rPr lang="en-US" sz="1100" baseline="0"/>
            <a:t> provide an estimate. </a:t>
          </a:r>
        </a:p>
        <a:p>
          <a:endParaRPr lang="en-US" sz="1100" baseline="0"/>
        </a:p>
        <a:p>
          <a:r>
            <a:rPr lang="en-US" sz="1100" b="1" baseline="0"/>
            <a:t>Crops/livestock		Tractor hours per hectare (average)</a:t>
          </a:r>
        </a:p>
        <a:p>
          <a:r>
            <a:rPr lang="en-US" sz="1100" baseline="0"/>
            <a:t>Cereals		9</a:t>
          </a:r>
        </a:p>
        <a:p>
          <a:r>
            <a:rPr lang="en-US" sz="1100" baseline="0"/>
            <a:t>Straw harvesting	3.5</a:t>
          </a:r>
        </a:p>
        <a:p>
          <a:r>
            <a:rPr lang="en-US" sz="1100" baseline="0"/>
            <a:t>Potatoes		20</a:t>
          </a:r>
        </a:p>
        <a:p>
          <a:r>
            <a:rPr lang="en-US" sz="1100" baseline="0"/>
            <a:t>Sugar beet		20</a:t>
          </a:r>
        </a:p>
        <a:p>
          <a:r>
            <a:rPr lang="en-US" sz="1100" baseline="0"/>
            <a:t>Vining peas		20</a:t>
          </a:r>
        </a:p>
        <a:p>
          <a:r>
            <a:rPr lang="en-US" sz="1100" baseline="0"/>
            <a:t>Dried peas		10</a:t>
          </a:r>
        </a:p>
        <a:p>
          <a:r>
            <a:rPr lang="en-US" sz="1100" baseline="0"/>
            <a:t>Field beans		9</a:t>
          </a:r>
        </a:p>
        <a:p>
          <a:r>
            <a:rPr lang="en-US" sz="1100" baseline="0"/>
            <a:t>Oilseed rape		9</a:t>
          </a:r>
        </a:p>
        <a:p>
          <a:r>
            <a:rPr lang="en-US" sz="1100" baseline="0"/>
            <a:t>Kale(grazed)		8</a:t>
          </a:r>
        </a:p>
        <a:p>
          <a:r>
            <a:rPr lang="en-US" sz="1100" baseline="0"/>
            <a:t>Turnips/Swedes: folded/lifted	12/35</a:t>
          </a:r>
        </a:p>
        <a:p>
          <a:r>
            <a:rPr lang="en-US" sz="1100" baseline="0"/>
            <a:t>Fallow		12</a:t>
          </a:r>
        </a:p>
        <a:p>
          <a:r>
            <a:rPr lang="en-US" sz="1100" baseline="0"/>
            <a:t>Ley establishment (undersown)	2</a:t>
          </a:r>
        </a:p>
        <a:p>
          <a:r>
            <a:rPr lang="en-US" sz="1100" baseline="0"/>
            <a:t>Ley establishment (direct seed)	7</a:t>
          </a:r>
        </a:p>
        <a:p>
          <a:r>
            <a:rPr lang="en-US" sz="1100" baseline="0"/>
            <a:t>Making hay		12</a:t>
          </a:r>
        </a:p>
        <a:p>
          <a:r>
            <a:rPr lang="en-US" sz="1100" baseline="0"/>
            <a:t>Making silage 1st cut	12</a:t>
          </a:r>
        </a:p>
        <a:p>
          <a:r>
            <a:rPr lang="en-US" sz="1100" baseline="0"/>
            <a:t>Making silage 2nd cut	9</a:t>
          </a:r>
        </a:p>
        <a:p>
          <a:r>
            <a:rPr lang="en-US" sz="1100" baseline="0"/>
            <a:t>Grazing temporary grass	3</a:t>
          </a:r>
        </a:p>
        <a:p>
          <a:r>
            <a:rPr lang="en-US" sz="1100" baseline="0"/>
            <a:t>Grazing permanent grass	2</a:t>
          </a:r>
        </a:p>
        <a:p>
          <a:r>
            <a:rPr lang="en-US" sz="1100" baseline="0"/>
            <a:t>Dairy cows		6</a:t>
          </a:r>
        </a:p>
        <a:p>
          <a:r>
            <a:rPr lang="en-US" sz="1100" baseline="0"/>
            <a:t>Other cattle &gt; 2 years	5</a:t>
          </a:r>
        </a:p>
        <a:p>
          <a:r>
            <a:rPr lang="en-US" sz="1100" baseline="0"/>
            <a:t>Other cattle 1-2 years	4</a:t>
          </a:r>
        </a:p>
        <a:p>
          <a:r>
            <a:rPr lang="en-US" sz="1100" baseline="0"/>
            <a:t>Other cattle 1/2-1year	2.25</a:t>
          </a:r>
        </a:p>
        <a:p>
          <a:r>
            <a:rPr lang="en-US" sz="1100" baseline="0"/>
            <a:t>Calves 0-1/2 year	2.25</a:t>
          </a:r>
        </a:p>
        <a:p>
          <a:r>
            <a:rPr lang="en-US" sz="1100" baseline="0"/>
            <a:t>Housed bullocks	3</a:t>
          </a:r>
        </a:p>
        <a:p>
          <a:r>
            <a:rPr lang="en-US" sz="1100" baseline="0"/>
            <a:t>Sheep per ewe		1.25</a:t>
          </a:r>
        </a:p>
        <a:p>
          <a:r>
            <a:rPr lang="en-US" sz="1100" baseline="0"/>
            <a:t>Store sheep		0.8</a:t>
          </a:r>
        </a:p>
        <a:p>
          <a:r>
            <a:rPr lang="en-US" sz="1100" baseline="0"/>
            <a:t>Sows		1.75</a:t>
          </a:r>
        </a:p>
        <a:p>
          <a:r>
            <a:rPr lang="en-US" sz="1100" baseline="0"/>
            <a:t>Other pigs &gt;2 months	1</a:t>
          </a:r>
        </a:p>
        <a:p>
          <a:r>
            <a:rPr lang="en-US" sz="1100" baseline="0"/>
            <a:t>Laying birds 		0.04</a:t>
          </a:r>
        </a:p>
        <a:p>
          <a:endParaRPr lang="en-US" sz="1100"/>
        </a:p>
        <a:p>
          <a:r>
            <a:rPr lang="en-US" sz="1100" b="1"/>
            <a:t>Tractor power requirements (Nix, 2011)</a:t>
          </a:r>
        </a:p>
        <a:p>
          <a:endParaRPr lang="en-US" sz="1100"/>
        </a:p>
        <a:p>
          <a:r>
            <a:rPr lang="en-US" sz="1100"/>
            <a:t>Combinable crops:</a:t>
          </a:r>
          <a:r>
            <a:rPr lang="en-US" sz="1100" baseline="0"/>
            <a:t> heavy land	1.85 hp per ha</a:t>
          </a:r>
        </a:p>
        <a:p>
          <a:r>
            <a:rPr lang="en-US" sz="1100" baseline="0"/>
            <a:t>Combinable crops: light land	1.25 hp per ha</a:t>
          </a:r>
        </a:p>
        <a:p>
          <a:r>
            <a:rPr lang="en-US" sz="1100" baseline="0"/>
            <a:t>Mixed cropping: heavy land	2.5 hp per ha</a:t>
          </a:r>
        </a:p>
        <a:p>
          <a:r>
            <a:rPr lang="en-US" sz="1100" baseline="0"/>
            <a:t>Mixed cropping: light land	1.75 hp per ha</a:t>
          </a:r>
          <a:endParaRPr lang="en-US" sz="1100"/>
        </a:p>
      </xdr:txBody>
    </xdr:sp>
    <xdr:clientData/>
  </xdr:oneCellAnchor>
  <xdr:oneCellAnchor>
    <xdr:from>
      <xdr:col>2</xdr:col>
      <xdr:colOff>1238250</xdr:colOff>
      <xdr:row>17</xdr:row>
      <xdr:rowOff>180974</xdr:rowOff>
    </xdr:from>
    <xdr:ext cx="885825" cy="200025"/>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3514725" y="2924174"/>
          <a:ext cx="885825" cy="20002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Select unit</a:t>
          </a:r>
        </a:p>
      </xdr:txBody>
    </xdr:sp>
    <xdr:clientData/>
  </xdr:oneCellAnchor>
  <xdr:twoCellAnchor>
    <xdr:from>
      <xdr:col>1</xdr:col>
      <xdr:colOff>201145</xdr:colOff>
      <xdr:row>0</xdr:row>
      <xdr:rowOff>32497</xdr:rowOff>
    </xdr:from>
    <xdr:to>
      <xdr:col>16</xdr:col>
      <xdr:colOff>152400</xdr:colOff>
      <xdr:row>6</xdr:row>
      <xdr:rowOff>127747</xdr:rowOff>
    </xdr:to>
    <xdr:sp macro="" textlink="">
      <xdr:nvSpPr>
        <xdr:cNvPr id="10" name="TextBox 9">
          <a:extLst>
            <a:ext uri="{FF2B5EF4-FFF2-40B4-BE49-F238E27FC236}">
              <a16:creationId xmlns:a16="http://schemas.microsoft.com/office/drawing/2014/main" id="{8F999CCB-EBAA-4F18-9092-5AD1AECD9732}"/>
            </a:ext>
          </a:extLst>
        </xdr:cNvPr>
        <xdr:cNvSpPr txBox="1"/>
      </xdr:nvSpPr>
      <xdr:spPr>
        <a:xfrm>
          <a:off x="1715620" y="32497"/>
          <a:ext cx="11028830" cy="1238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Fuel</a:t>
          </a:r>
          <a:r>
            <a:rPr lang="en-US" sz="1800" b="1" baseline="0">
              <a:solidFill>
                <a:srgbClr val="92D050"/>
              </a:solidFill>
            </a:rPr>
            <a:t> use input data</a:t>
          </a:r>
          <a:endParaRPr lang="en-US" sz="1800" b="1">
            <a:solidFill>
              <a:srgbClr val="92D050"/>
            </a:solidFill>
          </a:endParaRPr>
        </a:p>
        <a:p>
          <a:r>
            <a:rPr lang="en-US" sz="1100" i="1" baseline="0">
              <a:solidFill>
                <a:schemeClr val="dk1"/>
              </a:solidFill>
              <a:effectLst/>
              <a:latin typeface="+mn-lt"/>
              <a:ea typeface="+mn-ea"/>
              <a:cs typeface="+mn-cs"/>
            </a:rPr>
            <a:t>In this sheet you are asked to enter the amount of fuel and contractor labour used over the last 12 months, divided between the different enterprises on your farm. This will contribute to calculations of energy and carbon benchmarks.</a:t>
          </a: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Please note: </a:t>
          </a:r>
          <a:r>
            <a:rPr lang="en-US" sz="1100" i="1" baseline="0">
              <a:solidFill>
                <a:schemeClr val="dk1"/>
              </a:solidFill>
              <a:effectLst/>
              <a:latin typeface="+mn-lt"/>
              <a:ea typeface="+mn-ea"/>
              <a:cs typeface="+mn-cs"/>
            </a:rPr>
            <a:t>If the farm electricity meter includes domestic property(s) then please use the g</a:t>
          </a:r>
          <a:r>
            <a:rPr lang="en-US" sz="1100" i="1">
              <a:solidFill>
                <a:schemeClr val="dk1"/>
              </a:solidFill>
              <a:effectLst/>
              <a:latin typeface="+mn-lt"/>
              <a:ea typeface="+mn-ea"/>
              <a:cs typeface="+mn-cs"/>
            </a:rPr>
            <a:t>uidelines</a:t>
          </a:r>
          <a:r>
            <a:rPr lang="en-US" sz="1100" i="1" baseline="0">
              <a:solidFill>
                <a:schemeClr val="dk1"/>
              </a:solidFill>
              <a:effectLst/>
              <a:latin typeface="+mn-lt"/>
              <a:ea typeface="+mn-ea"/>
              <a:cs typeface="+mn-cs"/>
            </a:rPr>
            <a:t> below the main table to estimate domestic use and subtract from the total figure.</a:t>
          </a:r>
          <a:endParaRPr lang="en-GB">
            <a:effectLst/>
          </a:endParaRPr>
        </a:p>
        <a:p>
          <a:r>
            <a:rPr lang="en-GB" sz="1100" i="1">
              <a:solidFill>
                <a:schemeClr val="dk1"/>
              </a:solidFill>
              <a:effectLst/>
              <a:latin typeface="+mn-lt"/>
              <a:ea typeface="+mn-ea"/>
              <a:cs typeface="+mn-cs"/>
            </a:rPr>
            <a:t>Biomass production includes work carried out to manage</a:t>
          </a:r>
          <a:r>
            <a:rPr lang="en-GB" sz="1100" i="1" baseline="0">
              <a:solidFill>
                <a:schemeClr val="dk1"/>
              </a:solidFill>
              <a:effectLst/>
              <a:latin typeface="+mn-lt"/>
              <a:ea typeface="+mn-ea"/>
              <a:cs typeface="+mn-cs"/>
            </a:rPr>
            <a:t> and harvest hedgerows, SRC and woodland for fuel.</a:t>
          </a:r>
        </a:p>
        <a:p>
          <a:pPr marL="0" marR="0" lvl="0" indent="0"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Operations</a:t>
          </a:r>
          <a:r>
            <a:rPr lang="en-GB" sz="1100" i="1" baseline="0">
              <a:solidFill>
                <a:schemeClr val="dk1"/>
              </a:solidFill>
              <a:effectLst/>
              <a:latin typeface="+mn-lt"/>
              <a:ea typeface="+mn-ea"/>
              <a:cs typeface="+mn-cs"/>
            </a:rPr>
            <a:t> carried out using a two-stroke engine e.g. chainsaws, should be included in petrol use, even when the work was carried out by a contractor.</a:t>
          </a: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i="1">
            <a:effectLst/>
          </a:endParaRPr>
        </a:p>
        <a:p>
          <a:endParaRPr lang="en-US" sz="1100" i="1"/>
        </a:p>
      </xdr:txBody>
    </xdr:sp>
    <xdr:clientData/>
  </xdr:twoCellAnchor>
  <xdr:twoCellAnchor editAs="oneCell">
    <xdr:from>
      <xdr:col>0</xdr:col>
      <xdr:colOff>104775</xdr:colOff>
      <xdr:row>0</xdr:row>
      <xdr:rowOff>0</xdr:rowOff>
    </xdr:from>
    <xdr:to>
      <xdr:col>1</xdr:col>
      <xdr:colOff>0</xdr:colOff>
      <xdr:row>6</xdr:row>
      <xdr:rowOff>161924</xdr:rowOff>
    </xdr:to>
    <xdr:pic>
      <xdr:nvPicPr>
        <xdr:cNvPr id="11" name="Picture 10">
          <a:extLst>
            <a:ext uri="{FF2B5EF4-FFF2-40B4-BE49-F238E27FC236}">
              <a16:creationId xmlns:a16="http://schemas.microsoft.com/office/drawing/2014/main" id="{47DD852F-930F-4368-B6C1-0293B0CF8FF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104775" y="0"/>
          <a:ext cx="1409700" cy="13049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17</xdr:col>
      <xdr:colOff>0</xdr:colOff>
      <xdr:row>7</xdr:row>
      <xdr:rowOff>0</xdr:rowOff>
    </xdr:from>
    <xdr:to>
      <xdr:col>23</xdr:col>
      <xdr:colOff>200025</xdr:colOff>
      <xdr:row>16</xdr:row>
      <xdr:rowOff>57150</xdr:rowOff>
    </xdr:to>
    <xdr:pic>
      <xdr:nvPicPr>
        <xdr:cNvPr id="9" name="Picture 8">
          <a:extLst>
            <a:ext uri="{FF2B5EF4-FFF2-40B4-BE49-F238E27FC236}">
              <a16:creationId xmlns:a16="http://schemas.microsoft.com/office/drawing/2014/main" id="{73C0F234-577C-43AC-8D87-B3D7B2814F9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01650" y="1343025"/>
          <a:ext cx="3857625" cy="21050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xdr:row>
      <xdr:rowOff>176193</xdr:rowOff>
    </xdr:from>
    <xdr:to>
      <xdr:col>14</xdr:col>
      <xdr:colOff>333375</xdr:colOff>
      <xdr:row>25</xdr:row>
      <xdr:rowOff>295274</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9820275" y="2881293"/>
          <a:ext cx="7372350" cy="2405081"/>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t>GUIDANCE FOR ENERGY USE SCORES:</a:t>
          </a:r>
        </a:p>
        <a:p>
          <a:r>
            <a:rPr lang="en-US" sz="1200" b="0" i="1" baseline="0"/>
            <a:t>Please note benchmarks for fuel used are based on conventional, specialised farm data. There is no data for mixed and/or organic farms available at the moment. </a:t>
          </a:r>
        </a:p>
        <a:p>
          <a:endParaRPr lang="en-US" sz="1200" b="0" i="1" baseline="0"/>
        </a:p>
        <a:p>
          <a:r>
            <a:rPr lang="en-US" sz="1200" b="0" i="1" baseline="0"/>
            <a:t>Please also note that the benchmark figures come from producers that are not processing their products on-farm.  </a:t>
          </a:r>
          <a:endParaRPr lang="en-US" sz="1200"/>
        </a:p>
        <a:p>
          <a:endParaRPr lang="en-US" sz="1200"/>
        </a:p>
        <a:p>
          <a:r>
            <a:rPr lang="en-US" sz="1200"/>
            <a:t>Score in relation to percentage of benchmark:</a:t>
          </a:r>
        </a:p>
        <a:p>
          <a:r>
            <a:rPr lang="en-US" sz="1200" b="0" i="0" u="none" strike="noStrike">
              <a:solidFill>
                <a:schemeClr val="dk1"/>
              </a:solidFill>
              <a:latin typeface="+mn-lt"/>
              <a:ea typeface="+mn-ea"/>
              <a:cs typeface="+mn-cs"/>
            </a:rPr>
            <a:t>0-49%</a:t>
          </a:r>
          <a:r>
            <a:rPr lang="en-US" sz="1200"/>
            <a:t> </a:t>
          </a:r>
          <a:r>
            <a:rPr lang="en-US" sz="1200" b="0" i="0" u="none" strike="noStrike">
              <a:solidFill>
                <a:schemeClr val="dk1"/>
              </a:solidFill>
              <a:latin typeface="+mn-lt"/>
              <a:ea typeface="+mn-ea"/>
              <a:cs typeface="+mn-cs"/>
            </a:rPr>
            <a:t> </a:t>
          </a:r>
          <a:r>
            <a:rPr lang="en-US" sz="1200"/>
            <a:t> 	</a:t>
          </a:r>
          <a:r>
            <a:rPr lang="en-US" sz="1200" b="0" i="0" u="none" strike="noStrike">
              <a:solidFill>
                <a:schemeClr val="dk1"/>
              </a:solidFill>
              <a:latin typeface="+mn-lt"/>
              <a:ea typeface="+mn-ea"/>
              <a:cs typeface="+mn-cs"/>
            </a:rPr>
            <a:t>5</a:t>
          </a:r>
          <a:r>
            <a:rPr lang="en-US" sz="1200"/>
            <a:t> </a:t>
          </a:r>
        </a:p>
        <a:p>
          <a:r>
            <a:rPr lang="en-US" sz="1200" b="0" i="0" u="none" strike="noStrike">
              <a:solidFill>
                <a:schemeClr val="dk1"/>
              </a:solidFill>
              <a:latin typeface="+mn-lt"/>
              <a:ea typeface="+mn-ea"/>
              <a:cs typeface="+mn-cs"/>
            </a:rPr>
            <a:t>50-74%</a:t>
          </a:r>
          <a:r>
            <a:rPr lang="en-US" sz="1200"/>
            <a:t> </a:t>
          </a:r>
          <a:r>
            <a:rPr lang="en-US" sz="1200" b="0" i="0" u="none" strike="noStrike">
              <a:solidFill>
                <a:schemeClr val="dk1"/>
              </a:solidFill>
              <a:latin typeface="+mn-lt"/>
              <a:ea typeface="+mn-ea"/>
              <a:cs typeface="+mn-cs"/>
            </a:rPr>
            <a:t> </a:t>
          </a:r>
          <a:r>
            <a:rPr lang="en-US" sz="1200"/>
            <a:t> 	</a:t>
          </a:r>
          <a:r>
            <a:rPr lang="en-US" sz="1200" b="0" i="0" u="none" strike="noStrike">
              <a:solidFill>
                <a:schemeClr val="dk1"/>
              </a:solidFill>
              <a:latin typeface="+mn-lt"/>
              <a:ea typeface="+mn-ea"/>
              <a:cs typeface="+mn-cs"/>
            </a:rPr>
            <a:t>4</a:t>
          </a:r>
          <a:r>
            <a:rPr lang="en-US" sz="1200"/>
            <a:t> </a:t>
          </a:r>
        </a:p>
        <a:p>
          <a:r>
            <a:rPr lang="en-US" sz="1200" b="0" i="0" u="none" strike="noStrike">
              <a:solidFill>
                <a:schemeClr val="dk1"/>
              </a:solidFill>
              <a:latin typeface="+mn-lt"/>
              <a:ea typeface="+mn-ea"/>
              <a:cs typeface="+mn-cs"/>
            </a:rPr>
            <a:t>75-99%</a:t>
          </a:r>
          <a:r>
            <a:rPr lang="en-US" sz="1200"/>
            <a:t> </a:t>
          </a:r>
          <a:r>
            <a:rPr lang="en-US" sz="1200" b="0" i="0" u="none" strike="noStrike">
              <a:solidFill>
                <a:schemeClr val="dk1"/>
              </a:solidFill>
              <a:latin typeface="+mn-lt"/>
              <a:ea typeface="+mn-ea"/>
              <a:cs typeface="+mn-cs"/>
            </a:rPr>
            <a:t> </a:t>
          </a:r>
          <a:r>
            <a:rPr lang="en-US" sz="1200"/>
            <a:t> 	</a:t>
          </a:r>
          <a:r>
            <a:rPr lang="en-US" sz="1200" b="0" i="0" u="none" strike="noStrike">
              <a:solidFill>
                <a:schemeClr val="dk1"/>
              </a:solidFill>
              <a:latin typeface="+mn-lt"/>
              <a:ea typeface="+mn-ea"/>
              <a:cs typeface="+mn-cs"/>
            </a:rPr>
            <a:t>3</a:t>
          </a:r>
          <a:r>
            <a:rPr lang="en-US" sz="1200"/>
            <a:t> </a:t>
          </a:r>
        </a:p>
        <a:p>
          <a:r>
            <a:rPr lang="en-US" sz="1200" b="0" i="0" u="none" strike="noStrike">
              <a:solidFill>
                <a:schemeClr val="dk1"/>
              </a:solidFill>
              <a:latin typeface="+mn-lt"/>
              <a:ea typeface="+mn-ea"/>
              <a:cs typeface="+mn-cs"/>
            </a:rPr>
            <a:t>100-124%</a:t>
          </a:r>
          <a:r>
            <a:rPr lang="en-US" sz="1200"/>
            <a:t> </a:t>
          </a:r>
          <a:r>
            <a:rPr lang="en-US" sz="1200" b="0" i="0" u="none" strike="noStrike">
              <a:solidFill>
                <a:schemeClr val="dk1"/>
              </a:solidFill>
              <a:latin typeface="+mn-lt"/>
              <a:ea typeface="+mn-ea"/>
              <a:cs typeface="+mn-cs"/>
            </a:rPr>
            <a:t> </a:t>
          </a:r>
          <a:r>
            <a:rPr lang="en-US" sz="1200"/>
            <a:t> 	</a:t>
          </a:r>
          <a:r>
            <a:rPr lang="en-US" sz="1200" b="0" i="0" u="none" strike="noStrike">
              <a:solidFill>
                <a:schemeClr val="dk1"/>
              </a:solidFill>
              <a:latin typeface="+mn-lt"/>
              <a:ea typeface="+mn-ea"/>
              <a:cs typeface="+mn-cs"/>
            </a:rPr>
            <a:t>2</a:t>
          </a:r>
          <a:r>
            <a:rPr lang="en-US" sz="1200"/>
            <a:t> </a:t>
          </a:r>
        </a:p>
        <a:p>
          <a:r>
            <a:rPr lang="en-US" sz="1200" b="0" i="0" u="none" strike="noStrike">
              <a:solidFill>
                <a:schemeClr val="dk1"/>
              </a:solidFill>
              <a:latin typeface="+mn-lt"/>
              <a:ea typeface="+mn-ea"/>
              <a:cs typeface="+mn-cs"/>
            </a:rPr>
            <a:t>125% +</a:t>
          </a:r>
          <a:r>
            <a:rPr lang="en-US" sz="1200"/>
            <a:t> </a:t>
          </a:r>
          <a:r>
            <a:rPr lang="en-US" sz="1200" b="0" i="0" u="none" strike="noStrike">
              <a:solidFill>
                <a:schemeClr val="dk1"/>
              </a:solidFill>
              <a:latin typeface="+mn-lt"/>
              <a:ea typeface="+mn-ea"/>
              <a:cs typeface="+mn-cs"/>
            </a:rPr>
            <a:t> </a:t>
          </a:r>
          <a:r>
            <a:rPr lang="en-US" sz="1200"/>
            <a:t> 	</a:t>
          </a:r>
          <a:r>
            <a:rPr lang="en-US" sz="1200" b="0" i="0" u="none" strike="noStrike">
              <a:solidFill>
                <a:schemeClr val="dk1"/>
              </a:solidFill>
              <a:latin typeface="+mn-lt"/>
              <a:ea typeface="+mn-ea"/>
              <a:cs typeface="+mn-cs"/>
            </a:rPr>
            <a:t>1</a:t>
          </a:r>
          <a:r>
            <a:rPr lang="en-US" sz="1200"/>
            <a:t> </a:t>
          </a:r>
        </a:p>
      </xdr:txBody>
    </xdr:sp>
    <xdr:clientData/>
  </xdr:twoCellAnchor>
  <xdr:twoCellAnchor>
    <xdr:from>
      <xdr:col>0</xdr:col>
      <xdr:colOff>9525</xdr:colOff>
      <xdr:row>19</xdr:row>
      <xdr:rowOff>170392</xdr:rowOff>
    </xdr:from>
    <xdr:to>
      <xdr:col>0</xdr:col>
      <xdr:colOff>2990851</xdr:colOff>
      <xdr:row>25</xdr:row>
      <xdr:rowOff>19050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9525" y="4847167"/>
          <a:ext cx="2981326" cy="991658"/>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t>Please</a:t>
          </a:r>
          <a:r>
            <a:rPr lang="en-US" sz="1200" b="1" baseline="0"/>
            <a:t> note: </a:t>
          </a:r>
          <a:r>
            <a:rPr lang="en-US" sz="1200" b="0" baseline="0"/>
            <a:t>this benchmark figure is based on a wide data range for UK beef and sheep systems, including many upland units, which tend to have a low fuel fossil fuel use per head of livestock.</a:t>
          </a:r>
          <a:endParaRPr lang="en-US" sz="1200" b="0"/>
        </a:p>
        <a:p>
          <a:endParaRPr lang="en-US" sz="1200" b="0" i="1" baseline="0"/>
        </a:p>
      </xdr:txBody>
    </xdr:sp>
    <xdr:clientData/>
  </xdr:twoCellAnchor>
  <xdr:twoCellAnchor>
    <xdr:from>
      <xdr:col>6</xdr:col>
      <xdr:colOff>276224</xdr:colOff>
      <xdr:row>63</xdr:row>
      <xdr:rowOff>57151</xdr:rowOff>
    </xdr:from>
    <xdr:to>
      <xdr:col>8</xdr:col>
      <xdr:colOff>552450</xdr:colOff>
      <xdr:row>70</xdr:row>
      <xdr:rowOff>47625</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9134474" y="12601576"/>
          <a:ext cx="2209801" cy="1343024"/>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none" strike="noStrike">
              <a:solidFill>
                <a:schemeClr val="dk1"/>
              </a:solidFill>
              <a:effectLst/>
              <a:latin typeface="+mn-lt"/>
              <a:ea typeface="+mn-ea"/>
              <a:cs typeface="+mn-cs"/>
            </a:rPr>
            <a:t>Score in relation to %</a:t>
          </a:r>
          <a:r>
            <a:rPr lang="en-GB" sz="1100" b="1" i="0" u="none" strike="noStrike" baseline="0">
              <a:solidFill>
                <a:schemeClr val="dk1"/>
              </a:solidFill>
              <a:effectLst/>
              <a:latin typeface="+mn-lt"/>
              <a:ea typeface="+mn-ea"/>
              <a:cs typeface="+mn-cs"/>
            </a:rPr>
            <a:t> renewable</a:t>
          </a:r>
          <a:endParaRPr lang="en-GB" sz="1100" b="1" i="0" u="none" strike="noStrike">
            <a:solidFill>
              <a:schemeClr val="dk1"/>
            </a:solidFill>
            <a:effectLst/>
            <a:latin typeface="+mn-lt"/>
            <a:ea typeface="+mn-ea"/>
            <a:cs typeface="+mn-cs"/>
          </a:endParaRPr>
        </a:p>
        <a:p>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0%</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 	1</a:t>
          </a:r>
        </a:p>
        <a:p>
          <a:r>
            <a:rPr lang="en-GB" sz="1100" b="0" i="0" u="none" strike="noStrike">
              <a:solidFill>
                <a:schemeClr val="dk1"/>
              </a:solidFill>
              <a:effectLst/>
              <a:latin typeface="+mn-lt"/>
              <a:ea typeface="+mn-ea"/>
              <a:cs typeface="+mn-cs"/>
            </a:rPr>
            <a:t>1-20%  	2</a:t>
          </a:r>
        </a:p>
        <a:p>
          <a:r>
            <a:rPr lang="en-GB" sz="1100" b="0" i="0" u="none" strike="noStrike">
              <a:solidFill>
                <a:schemeClr val="dk1"/>
              </a:solidFill>
              <a:effectLst/>
              <a:latin typeface="+mn-lt"/>
              <a:ea typeface="+mn-ea"/>
              <a:cs typeface="+mn-cs"/>
            </a:rPr>
            <a:t>21-40%  	3</a:t>
          </a:r>
        </a:p>
        <a:p>
          <a:r>
            <a:rPr lang="en-GB" sz="1100"/>
            <a:t>41-60%</a:t>
          </a:r>
          <a:r>
            <a:rPr lang="en-GB" sz="1100" baseline="0"/>
            <a:t>  	4</a:t>
          </a:r>
        </a:p>
        <a:p>
          <a:r>
            <a:rPr lang="en-GB" sz="1100" baseline="0"/>
            <a:t>61% +  	5</a:t>
          </a:r>
          <a:endParaRPr lang="en-US" sz="1100"/>
        </a:p>
      </xdr:txBody>
    </xdr:sp>
    <xdr:clientData/>
  </xdr:twoCellAnchor>
  <xdr:twoCellAnchor>
    <xdr:from>
      <xdr:col>0</xdr:col>
      <xdr:colOff>1466848</xdr:colOff>
      <xdr:row>0</xdr:row>
      <xdr:rowOff>9524</xdr:rowOff>
    </xdr:from>
    <xdr:to>
      <xdr:col>7</xdr:col>
      <xdr:colOff>247649</xdr:colOff>
      <xdr:row>6</xdr:row>
      <xdr:rowOff>152400</xdr:rowOff>
    </xdr:to>
    <xdr:sp macro="" textlink="">
      <xdr:nvSpPr>
        <xdr:cNvPr id="6" name="TextBox 5">
          <a:extLst>
            <a:ext uri="{FF2B5EF4-FFF2-40B4-BE49-F238E27FC236}">
              <a16:creationId xmlns:a16="http://schemas.microsoft.com/office/drawing/2014/main" id="{80D3C7A3-1BDE-4B62-92EC-E1015A8FC94E}"/>
            </a:ext>
          </a:extLst>
        </xdr:cNvPr>
        <xdr:cNvSpPr txBox="1"/>
      </xdr:nvSpPr>
      <xdr:spPr>
        <a:xfrm>
          <a:off x="1466848" y="9524"/>
          <a:ext cx="8591551" cy="12858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Energy</a:t>
          </a:r>
          <a:r>
            <a:rPr lang="en-US" sz="1800" b="1" baseline="0">
              <a:solidFill>
                <a:srgbClr val="92D050"/>
              </a:solidFill>
            </a:rPr>
            <a:t> and Carbon Benchmarks</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You don´t need to enter any data within this sheet. </a:t>
          </a:r>
          <a:r>
            <a:rPr lang="en-US" sz="1100" i="1"/>
            <a:t>This sheet automatically compares</a:t>
          </a:r>
          <a:r>
            <a:rPr lang="en-US" sz="1100" i="1" baseline="0"/>
            <a:t> your energy use with benchmark figures from CALU &amp; ADAS (2007) Managing Energy and Carbon: The farmer's guide to energy audits (http://www.calu.bangor.ac.uk/Technical%20leaflets/Energyauditmanual.pdf). The percentage use of renewable energy, biomass CO2 balance and avoided GHG emissions from woody biomass are also calculated. The overall scores for the spur are shown in the table to the right.</a:t>
          </a:r>
          <a:endParaRPr lang="en-US" sz="1100" i="1"/>
        </a:p>
      </xdr:txBody>
    </xdr:sp>
    <xdr:clientData/>
  </xdr:twoCellAnchor>
  <xdr:twoCellAnchor editAs="oneCell">
    <xdr:from>
      <xdr:col>0</xdr:col>
      <xdr:colOff>0</xdr:colOff>
      <xdr:row>0</xdr:row>
      <xdr:rowOff>0</xdr:rowOff>
    </xdr:from>
    <xdr:to>
      <xdr:col>0</xdr:col>
      <xdr:colOff>1400175</xdr:colOff>
      <xdr:row>6</xdr:row>
      <xdr:rowOff>123825</xdr:rowOff>
    </xdr:to>
    <xdr:pic>
      <xdr:nvPicPr>
        <xdr:cNvPr id="9" name="Picture 8">
          <a:extLst>
            <a:ext uri="{FF2B5EF4-FFF2-40B4-BE49-F238E27FC236}">
              <a16:creationId xmlns:a16="http://schemas.microsoft.com/office/drawing/2014/main" id="{FA6A83FE-7BBD-4596-8EF7-A2AEECF0242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400175" cy="1266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0</xdr:colOff>
      <xdr:row>27</xdr:row>
      <xdr:rowOff>0</xdr:rowOff>
    </xdr:from>
    <xdr:to>
      <xdr:col>10</xdr:col>
      <xdr:colOff>285750</xdr:colOff>
      <xdr:row>38</xdr:row>
      <xdr:rowOff>9525</xdr:rowOff>
    </xdr:to>
    <xdr:pic>
      <xdr:nvPicPr>
        <xdr:cNvPr id="8" name="Picture 7">
          <a:extLst>
            <a:ext uri="{FF2B5EF4-FFF2-40B4-BE49-F238E27FC236}">
              <a16:creationId xmlns:a16="http://schemas.microsoft.com/office/drawing/2014/main" id="{937D5743-2286-4DFE-B531-A32FEB56BAD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6019800"/>
          <a:ext cx="3857625" cy="21050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84686</xdr:colOff>
      <xdr:row>13</xdr:row>
      <xdr:rowOff>153441</xdr:rowOff>
    </xdr:from>
    <xdr:to>
      <xdr:col>5</xdr:col>
      <xdr:colOff>457199</xdr:colOff>
      <xdr:row>19</xdr:row>
      <xdr:rowOff>152400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6275936" y="3306216"/>
          <a:ext cx="2334663" cy="1303884"/>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latin typeface="+mn-lt"/>
              <a:ea typeface="+mn-ea"/>
              <a:cs typeface="+mn-cs"/>
            </a:rPr>
            <a:t>GUIDANCE</a:t>
          </a:r>
          <a:r>
            <a:rPr lang="en-US" sz="1100" b="1" i="0" u="none" strike="noStrike" baseline="0">
              <a:solidFill>
                <a:schemeClr val="dk1"/>
              </a:solidFill>
              <a:latin typeface="+mn-lt"/>
              <a:ea typeface="+mn-ea"/>
              <a:cs typeface="+mn-cs"/>
            </a:rPr>
            <a:t> FOR SCORES</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Number of species/varieties</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1 = 1-3 crop</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species/varieties </a:t>
          </a:r>
          <a:r>
            <a:rPr lang="en-US" b="0"/>
            <a:t> </a:t>
          </a:r>
        </a:p>
        <a:p>
          <a:r>
            <a:rPr lang="en-US" sz="1100" b="0" i="0" u="none" strike="noStrike">
              <a:solidFill>
                <a:schemeClr val="dk1"/>
              </a:solidFill>
              <a:latin typeface="+mn-lt"/>
              <a:ea typeface="+mn-ea"/>
              <a:cs typeface="+mn-cs"/>
            </a:rPr>
            <a:t>2 =</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4-6 crop</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species /varieties</a:t>
          </a:r>
          <a:r>
            <a:rPr lang="en-US" b="0"/>
            <a:t> </a:t>
          </a:r>
        </a:p>
        <a:p>
          <a:r>
            <a:rPr lang="en-US" sz="1100" b="0" i="0" u="none" strike="noStrike">
              <a:solidFill>
                <a:schemeClr val="dk1"/>
              </a:solidFill>
              <a:latin typeface="+mn-lt"/>
              <a:ea typeface="+mn-ea"/>
              <a:cs typeface="+mn-cs"/>
            </a:rPr>
            <a:t>3 =</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7-9 crop</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species /varieties</a:t>
          </a:r>
          <a:r>
            <a:rPr lang="en-US" b="0"/>
            <a:t> </a:t>
          </a:r>
        </a:p>
        <a:p>
          <a:r>
            <a:rPr lang="en-US" sz="1100" b="0" i="0" u="none" strike="noStrike">
              <a:solidFill>
                <a:schemeClr val="dk1"/>
              </a:solidFill>
              <a:latin typeface="+mn-lt"/>
              <a:ea typeface="+mn-ea"/>
              <a:cs typeface="+mn-cs"/>
            </a:rPr>
            <a:t>4 = 10-12 crop</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species /varieties</a:t>
          </a:r>
          <a:r>
            <a:rPr lang="en-US" b="0"/>
            <a:t> </a:t>
          </a:r>
        </a:p>
        <a:p>
          <a:r>
            <a:rPr lang="en-US" sz="1100" b="0" i="0" u="none" strike="noStrike">
              <a:solidFill>
                <a:schemeClr val="dk1"/>
              </a:solidFill>
              <a:latin typeface="+mn-lt"/>
              <a:ea typeface="+mn-ea"/>
              <a:cs typeface="+mn-cs"/>
            </a:rPr>
            <a:t>5 = 13-15 + crop</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species/varieties</a:t>
          </a:r>
          <a:r>
            <a:rPr lang="en-US" b="0"/>
            <a:t> </a:t>
          </a:r>
          <a:endParaRPr lang="en-US" sz="1100" b="0"/>
        </a:p>
      </xdr:txBody>
    </xdr:sp>
    <xdr:clientData/>
  </xdr:twoCellAnchor>
  <xdr:twoCellAnchor>
    <xdr:from>
      <xdr:col>2</xdr:col>
      <xdr:colOff>205228</xdr:colOff>
      <xdr:row>26</xdr:row>
      <xdr:rowOff>19049</xdr:rowOff>
    </xdr:from>
    <xdr:to>
      <xdr:col>4</xdr:col>
      <xdr:colOff>876300</xdr:colOff>
      <xdr:row>33</xdr:row>
      <xdr:rowOff>9524</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6396478" y="5810249"/>
          <a:ext cx="1633097" cy="1323975"/>
        </a:xfrm>
        <a:prstGeom prst="rect">
          <a:avLst/>
        </a:prstGeom>
        <a:solidFill>
          <a:schemeClr val="accent1">
            <a:lumMod val="20000"/>
            <a:lumOff val="8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latin typeface="+mn-lt"/>
              <a:ea typeface="+mn-ea"/>
              <a:cs typeface="+mn-cs"/>
            </a:rPr>
            <a:t>GUIDANCE</a:t>
          </a:r>
          <a:r>
            <a:rPr lang="en-US" sz="1100" b="1" i="0" u="none" strike="noStrike" baseline="0">
              <a:solidFill>
                <a:schemeClr val="dk1"/>
              </a:solidFill>
              <a:latin typeface="+mn-lt"/>
              <a:ea typeface="+mn-ea"/>
              <a:cs typeface="+mn-cs"/>
            </a:rPr>
            <a:t> FOR SCORES: </a:t>
          </a:r>
        </a:p>
        <a:p>
          <a:r>
            <a:rPr lang="en-US" sz="1100" b="0" i="0" u="none" strike="noStrike" baseline="0">
              <a:solidFill>
                <a:schemeClr val="dk1"/>
              </a:solidFill>
              <a:latin typeface="+mn-lt"/>
              <a:ea typeface="+mn-ea"/>
              <a:cs typeface="+mn-cs"/>
            </a:rPr>
            <a:t>Number of breeds</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1 =</a:t>
          </a:r>
          <a:r>
            <a:rPr lang="en-US" sz="1100" b="0" i="0" u="none" strike="noStrike" baseline="0">
              <a:solidFill>
                <a:schemeClr val="dk1"/>
              </a:solidFill>
              <a:latin typeface="+mn-lt"/>
              <a:ea typeface="+mn-ea"/>
              <a:cs typeface="+mn-cs"/>
            </a:rPr>
            <a:t> 1 </a:t>
          </a:r>
          <a:r>
            <a:rPr lang="en-US" sz="1100" b="0" i="0" u="none" strike="noStrike">
              <a:solidFill>
                <a:schemeClr val="dk1"/>
              </a:solidFill>
              <a:latin typeface="+mn-lt"/>
              <a:ea typeface="+mn-ea"/>
              <a:cs typeface="+mn-cs"/>
            </a:rPr>
            <a:t>breed </a:t>
          </a:r>
          <a:r>
            <a:rPr lang="en-US" b="0"/>
            <a:t> </a:t>
          </a:r>
        </a:p>
        <a:p>
          <a:r>
            <a:rPr lang="en-US" sz="1100" b="0" i="0" u="none" strike="noStrike">
              <a:solidFill>
                <a:schemeClr val="dk1"/>
              </a:solidFill>
              <a:latin typeface="+mn-lt"/>
              <a:ea typeface="+mn-ea"/>
              <a:cs typeface="+mn-cs"/>
            </a:rPr>
            <a:t>2 = 2 breeds </a:t>
          </a:r>
          <a:r>
            <a:rPr lang="en-US" b="0"/>
            <a:t> </a:t>
          </a:r>
        </a:p>
        <a:p>
          <a:r>
            <a:rPr lang="en-US" sz="1100" b="0" i="0" u="none" strike="noStrike">
              <a:solidFill>
                <a:schemeClr val="dk1"/>
              </a:solidFill>
              <a:latin typeface="+mn-lt"/>
              <a:ea typeface="+mn-ea"/>
              <a:cs typeface="+mn-cs"/>
            </a:rPr>
            <a:t>3 = 3 breeds </a:t>
          </a:r>
          <a:r>
            <a:rPr lang="en-US" b="0"/>
            <a:t> </a:t>
          </a:r>
        </a:p>
        <a:p>
          <a:r>
            <a:rPr lang="en-US" sz="1100" b="0" i="0" u="none" strike="noStrike">
              <a:solidFill>
                <a:schemeClr val="dk1"/>
              </a:solidFill>
              <a:latin typeface="+mn-lt"/>
              <a:ea typeface="+mn-ea"/>
              <a:cs typeface="+mn-cs"/>
            </a:rPr>
            <a:t>4 = 4 breeds </a:t>
          </a:r>
          <a:r>
            <a:rPr lang="en-US" b="0"/>
            <a:t> </a:t>
          </a:r>
        </a:p>
        <a:p>
          <a:r>
            <a:rPr lang="en-US" sz="1100" b="0" i="0" u="none" strike="noStrike">
              <a:solidFill>
                <a:schemeClr val="dk1"/>
              </a:solidFill>
              <a:latin typeface="+mn-lt"/>
              <a:ea typeface="+mn-ea"/>
              <a:cs typeface="+mn-cs"/>
            </a:rPr>
            <a:t>5 = 5+ breeds </a:t>
          </a:r>
          <a:endParaRPr lang="en-US" sz="1100" b="0"/>
        </a:p>
      </xdr:txBody>
    </xdr:sp>
    <xdr:clientData/>
  </xdr:twoCellAnchor>
  <xdr:twoCellAnchor>
    <xdr:from>
      <xdr:col>0</xdr:col>
      <xdr:colOff>71718</xdr:colOff>
      <xdr:row>27</xdr:row>
      <xdr:rowOff>26894</xdr:rowOff>
    </xdr:from>
    <xdr:to>
      <xdr:col>0</xdr:col>
      <xdr:colOff>3272118</xdr:colOff>
      <xdr:row>31</xdr:row>
      <xdr:rowOff>71716</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71718" y="4105835"/>
          <a:ext cx="3200400" cy="76199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a:t>
          </a:r>
          <a:r>
            <a:rPr lang="en-US" sz="1100" baseline="0"/>
            <a:t>B </a:t>
          </a:r>
          <a:r>
            <a:rPr lang="en-US" sz="1100"/>
            <a:t>Count each breed</a:t>
          </a:r>
          <a:r>
            <a:rPr lang="en-US" sz="1100" baseline="0"/>
            <a:t> within a cross breed as '1', eg: a dairy herd with Holstein Friesian x Brown Swiss cows would count as 2 breeds total</a:t>
          </a:r>
          <a:endParaRPr lang="en-US" sz="1100"/>
        </a:p>
      </xdr:txBody>
    </xdr:sp>
    <xdr:clientData/>
  </xdr:twoCellAnchor>
  <xdr:twoCellAnchor editAs="oneCell">
    <xdr:from>
      <xdr:col>0</xdr:col>
      <xdr:colOff>0</xdr:colOff>
      <xdr:row>0</xdr:row>
      <xdr:rowOff>0</xdr:rowOff>
    </xdr:from>
    <xdr:to>
      <xdr:col>0</xdr:col>
      <xdr:colOff>1400175</xdr:colOff>
      <xdr:row>6</xdr:row>
      <xdr:rowOff>123825</xdr:rowOff>
    </xdr:to>
    <xdr:pic>
      <xdr:nvPicPr>
        <xdr:cNvPr id="7" name="Picture 6">
          <a:extLst>
            <a:ext uri="{FF2B5EF4-FFF2-40B4-BE49-F238E27FC236}">
              <a16:creationId xmlns:a16="http://schemas.microsoft.com/office/drawing/2014/main" id="{86DFB702-AC64-4718-8812-6FAF00F0A33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400175" cy="12668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1457327</xdr:colOff>
      <xdr:row>0</xdr:row>
      <xdr:rowOff>38099</xdr:rowOff>
    </xdr:from>
    <xdr:to>
      <xdr:col>4</xdr:col>
      <xdr:colOff>942975</xdr:colOff>
      <xdr:row>7</xdr:row>
      <xdr:rowOff>142874</xdr:rowOff>
    </xdr:to>
    <xdr:sp macro="" textlink="">
      <xdr:nvSpPr>
        <xdr:cNvPr id="8" name="TextBox 7">
          <a:extLst>
            <a:ext uri="{FF2B5EF4-FFF2-40B4-BE49-F238E27FC236}">
              <a16:creationId xmlns:a16="http://schemas.microsoft.com/office/drawing/2014/main" id="{53C231C9-5C0E-412C-9068-70B2754F3724}"/>
            </a:ext>
          </a:extLst>
        </xdr:cNvPr>
        <xdr:cNvSpPr txBox="1"/>
      </xdr:nvSpPr>
      <xdr:spPr>
        <a:xfrm>
          <a:off x="1457327" y="38099"/>
          <a:ext cx="6638923" cy="14382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Agricultural</a:t>
          </a:r>
          <a:r>
            <a:rPr lang="en-US" sz="1800" b="1" baseline="0">
              <a:solidFill>
                <a:srgbClr val="92D050"/>
              </a:solidFill>
            </a:rPr>
            <a:t> Systems Diversity</a:t>
          </a:r>
          <a:endParaRPr lang="en-US" sz="1800" b="1">
            <a:solidFill>
              <a:srgbClr val="92D050"/>
            </a:solidFill>
          </a:endParaRP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of diversity within your agricultural system; enter your data or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6</xdr:col>
      <xdr:colOff>571500</xdr:colOff>
      <xdr:row>17</xdr:row>
      <xdr:rowOff>76200</xdr:rowOff>
    </xdr:from>
    <xdr:to>
      <xdr:col>9</xdr:col>
      <xdr:colOff>504825</xdr:colOff>
      <xdr:row>26</xdr:row>
      <xdr:rowOff>323850</xdr:rowOff>
    </xdr:to>
    <xdr:pic>
      <xdr:nvPicPr>
        <xdr:cNvPr id="9" name="Picture 8">
          <a:extLst>
            <a:ext uri="{FF2B5EF4-FFF2-40B4-BE49-F238E27FC236}">
              <a16:creationId xmlns:a16="http://schemas.microsoft.com/office/drawing/2014/main" id="{05F456D4-8024-4FE3-9A8F-6FE5B7CACC1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72600" y="4438650"/>
          <a:ext cx="3857625" cy="21050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57150</xdr:colOff>
      <xdr:row>21</xdr:row>
      <xdr:rowOff>247661</xdr:rowOff>
    </xdr:from>
    <xdr:ext cx="2998266" cy="1562089"/>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0687050" y="5667386"/>
          <a:ext cx="2998266" cy="1562089"/>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Training days </a:t>
          </a:r>
          <a:r>
            <a:rPr lang="en-US" sz="1100"/>
            <a:t>are</a:t>
          </a:r>
          <a:r>
            <a:rPr lang="en-US" sz="1100" baseline="0"/>
            <a:t> days on which staff learn new skills and update their knowledge.  Consider specific courses and also events/workshops where attendance has achieved this and include them. </a:t>
          </a:r>
        </a:p>
        <a:p>
          <a:r>
            <a:rPr lang="en-US" sz="1100" baseline="0"/>
            <a:t>If there are no members of staff in the particular category then type "n/a" and this score will be removed</a:t>
          </a:r>
        </a:p>
        <a:p>
          <a:endParaRPr lang="en-US" sz="1100" baseline="0"/>
        </a:p>
        <a:p>
          <a:endParaRPr lang="en-US" sz="1100"/>
        </a:p>
      </xdr:txBody>
    </xdr:sp>
    <xdr:clientData/>
  </xdr:oneCellAnchor>
  <xdr:oneCellAnchor>
    <xdr:from>
      <xdr:col>0</xdr:col>
      <xdr:colOff>0</xdr:colOff>
      <xdr:row>11</xdr:row>
      <xdr:rowOff>8059</xdr:rowOff>
    </xdr:from>
    <xdr:ext cx="2466975" cy="963491"/>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0" y="2503609"/>
          <a:ext cx="2466975" cy="963491"/>
        </a:xfrm>
        <a:prstGeom prst="rect">
          <a:avLst/>
        </a:prstGeom>
        <a:solidFill>
          <a:schemeClr val="accent1">
            <a:lumMod val="20000"/>
            <a:lumOff val="80000"/>
          </a:schemeClr>
        </a:solidFill>
        <a:ln>
          <a:solidFill>
            <a:schemeClr val="tx2">
              <a:lumMod val="7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t>Please note: </a:t>
          </a:r>
          <a:r>
            <a:rPr lang="en-US" sz="1100" b="0"/>
            <a:t>1 FTE</a:t>
          </a:r>
          <a:r>
            <a:rPr lang="en-US" sz="1100" b="0" baseline="0"/>
            <a:t> is one </a:t>
          </a:r>
          <a:r>
            <a:rPr lang="en-US" sz="1100" b="0"/>
            <a:t>employee </a:t>
          </a:r>
          <a:r>
            <a:rPr lang="en-US" sz="1100"/>
            <a:t>working 2200 hours per year so if e.g the farmer's</a:t>
          </a:r>
          <a:r>
            <a:rPr lang="en-US" sz="1100" baseline="0"/>
            <a:t> wife does 600 hours per year on the farm then family labour would be 600/2200 = 0.27 FTE</a:t>
          </a:r>
          <a:endParaRPr lang="en-US" sz="1100"/>
        </a:p>
      </xdr:txBody>
    </xdr:sp>
    <xdr:clientData/>
  </xdr:oneCellAnchor>
  <xdr:twoCellAnchor editAs="oneCell">
    <xdr:from>
      <xdr:col>0</xdr:col>
      <xdr:colOff>0</xdr:colOff>
      <xdr:row>0</xdr:row>
      <xdr:rowOff>0</xdr:rowOff>
    </xdr:from>
    <xdr:to>
      <xdr:col>0</xdr:col>
      <xdr:colOff>1400175</xdr:colOff>
      <xdr:row>6</xdr:row>
      <xdr:rowOff>190500</xdr:rowOff>
    </xdr:to>
    <xdr:pic>
      <xdr:nvPicPr>
        <xdr:cNvPr id="6" name="Picture 5">
          <a:extLst>
            <a:ext uri="{FF2B5EF4-FFF2-40B4-BE49-F238E27FC236}">
              <a16:creationId xmlns:a16="http://schemas.microsoft.com/office/drawing/2014/main" id="{DB5B67E8-A05E-453E-A918-E37F1CF05E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47" t="21866" r="22393" b="22820"/>
        <a:stretch/>
      </xdr:blipFill>
      <xdr:spPr bwMode="auto">
        <a:xfrm>
          <a:off x="0" y="0"/>
          <a:ext cx="1400175" cy="13335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1524000</xdr:colOff>
      <xdr:row>0</xdr:row>
      <xdr:rowOff>47625</xdr:rowOff>
    </xdr:from>
    <xdr:to>
      <xdr:col>3</xdr:col>
      <xdr:colOff>104775</xdr:colOff>
      <xdr:row>6</xdr:row>
      <xdr:rowOff>0</xdr:rowOff>
    </xdr:to>
    <xdr:sp macro="" textlink="">
      <xdr:nvSpPr>
        <xdr:cNvPr id="8" name="TextBox 7">
          <a:extLst>
            <a:ext uri="{FF2B5EF4-FFF2-40B4-BE49-F238E27FC236}">
              <a16:creationId xmlns:a16="http://schemas.microsoft.com/office/drawing/2014/main" id="{83D1B6B3-4B56-495B-9015-28464F0E9B1A}"/>
            </a:ext>
          </a:extLst>
        </xdr:cNvPr>
        <xdr:cNvSpPr txBox="1"/>
      </xdr:nvSpPr>
      <xdr:spPr>
        <a:xfrm>
          <a:off x="1524000" y="47625"/>
          <a:ext cx="6010275" cy="10953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rgbClr val="92D050"/>
              </a:solidFill>
            </a:rPr>
            <a:t>Social capital</a:t>
          </a:r>
        </a:p>
        <a:p>
          <a:endParaRPr lang="en-US" sz="1100" i="1" baseline="0">
            <a:solidFill>
              <a:schemeClr val="dk1"/>
            </a:solidFill>
            <a:effectLst/>
            <a:latin typeface="+mn-lt"/>
            <a:ea typeface="+mn-ea"/>
            <a:cs typeface="+mn-cs"/>
          </a:endParaRPr>
        </a:p>
        <a:p>
          <a:r>
            <a:rPr lang="en-US" sz="1100" i="1" baseline="0">
              <a:solidFill>
                <a:schemeClr val="dk1"/>
              </a:solidFill>
              <a:effectLst/>
              <a:latin typeface="+mn-lt"/>
              <a:ea typeface="+mn-ea"/>
              <a:cs typeface="+mn-cs"/>
            </a:rPr>
            <a:t>In this sheet you are asked a series of questions about various aspects relating to the people within your agricultural system; enter data or select your answers from the drop down menus.</a:t>
          </a:r>
        </a:p>
        <a:p>
          <a:r>
            <a:rPr lang="en-US" sz="1100" i="1" baseline="0">
              <a:solidFill>
                <a:schemeClr val="dk1"/>
              </a:solidFill>
              <a:effectLst/>
              <a:latin typeface="+mn-lt"/>
              <a:ea typeface="+mn-ea"/>
              <a:cs typeface="+mn-cs"/>
            </a:rPr>
            <a:t>Scores are automatically calculated, and the overall scores for the spur shown in the box on the right.</a:t>
          </a:r>
          <a:endParaRPr lang="en-US" sz="1100" i="1"/>
        </a:p>
      </xdr:txBody>
    </xdr:sp>
    <xdr:clientData/>
  </xdr:twoCellAnchor>
  <xdr:twoCellAnchor editAs="oneCell">
    <xdr:from>
      <xdr:col>7</xdr:col>
      <xdr:colOff>38100</xdr:colOff>
      <xdr:row>13</xdr:row>
      <xdr:rowOff>47625</xdr:rowOff>
    </xdr:from>
    <xdr:to>
      <xdr:col>9</xdr:col>
      <xdr:colOff>0</xdr:colOff>
      <xdr:row>20</xdr:row>
      <xdr:rowOff>314325</xdr:rowOff>
    </xdr:to>
    <xdr:pic>
      <xdr:nvPicPr>
        <xdr:cNvPr id="7" name="Picture 6">
          <a:extLst>
            <a:ext uri="{FF2B5EF4-FFF2-40B4-BE49-F238E27FC236}">
              <a16:creationId xmlns:a16="http://schemas.microsoft.com/office/drawing/2014/main" id="{BE861752-7F61-4572-A8D4-AEDDB4087E1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0" y="3305175"/>
          <a:ext cx="3857625" cy="21050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Research\EASI\EASI%20tool\Final%20Assessment%20tool\EASI_assessment_blank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earch/EASI/EASI%20tool/Final%20Assessment%20tool/EASI_assessment_blank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PhD\LS%20PhD\7.%20Modelling\Agri_LCA\EUROSTAT_Crop_yield_Dat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earch/PhD/LS%20PhD/7.%20Modelling/2.raw%20data/FSS/UK_Regional_cereal_and_OSR_yield_to_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hD\LS%20PhD\2.contacts%20&amp;%20communications\Meeting%20with%20Phil%20Jones%20at%20Reading%20Uni\Results_from_OLUM_IM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PhD/LS%20PhD/7.%20Modelling/2.raw%20data/FBS/Regional%20Cereal%20potato%20sugar%20beet%20and%20OSR%20yields%20England%20on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PhD/LS%20PhD/7.%20Modelling/2.raw%20data/Horticultural_production_1995_to_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vm/Documents/FBS%20Analysis/Files/fb08/FAS25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nd and livestock"/>
      <sheetName val="Inputs and output"/>
      <sheetName val="Vehicle data"/>
      <sheetName val="Field cultivations"/>
      <sheetName val="Utilities"/>
      <sheetName val="Landscape &amp; Biodiversity"/>
      <sheetName val="Potential for energy production"/>
      <sheetName val="Overview"/>
      <sheetName val="Summary data"/>
      <sheetName val="Energy produced"/>
      <sheetName val="Benchmarks"/>
      <sheetName val="Data"/>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ow r="30">
          <cell r="B30" t="str">
            <v>UK</v>
          </cell>
        </row>
        <row r="31">
          <cell r="B31" t="str">
            <v>NEU</v>
          </cell>
        </row>
        <row r="32">
          <cell r="B32" t="str">
            <v>SEU</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nd and livestock"/>
      <sheetName val="Inputs and output"/>
      <sheetName val="Vehicle data"/>
      <sheetName val="Field cultivations"/>
      <sheetName val="Utilities"/>
      <sheetName val="Landscape &amp; Biodiversity"/>
      <sheetName val="Potential for energy production"/>
      <sheetName val="Overview"/>
      <sheetName val="Summary data"/>
      <sheetName val="Energy produced"/>
      <sheetName val="Benchmarks"/>
      <sheetName val="Data"/>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ow r="30">
          <cell r="B30" t="str">
            <v>UK</v>
          </cell>
        </row>
        <row r="31">
          <cell r="B31" t="str">
            <v>NEU</v>
          </cell>
        </row>
        <row r="32">
          <cell r="B32" t="str">
            <v>SEU</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_yields_EU28"/>
      <sheetName val="Barley_area"/>
      <sheetName val="Barley_tonnes"/>
      <sheetName val="Oats_area"/>
      <sheetName val="Oats_tonnes"/>
      <sheetName val="Peas_area"/>
      <sheetName val="Peas tonnes"/>
      <sheetName val="Field_beans_area"/>
      <sheetName val="Field_beans_tonnes"/>
      <sheetName val="Potato_Area"/>
      <sheetName val="Potatoes_tonnes"/>
      <sheetName val="Sugar_beet_area"/>
      <sheetName val="Sugar_beet_tonnes"/>
      <sheetName val="Oilseed_area"/>
      <sheetName val="Oilseed_tonnes"/>
      <sheetName val="Carrots_tonnes"/>
      <sheetName val="Cabbage_area"/>
      <sheetName val="Cabbages_tonnes"/>
      <sheetName val="Onions_area"/>
      <sheetName val="Onions_tonnes"/>
      <sheetName val="Wheat_area"/>
      <sheetName val="Wheat_yield"/>
      <sheetName val="CARROTS"/>
    </sheetNames>
    <sheetDataSet>
      <sheetData sheetId="0"/>
      <sheetData sheetId="1">
        <row r="12">
          <cell r="E12">
            <v>12235.77</v>
          </cell>
        </row>
      </sheetData>
      <sheetData sheetId="2">
        <row r="12">
          <cell r="E12">
            <v>53041.19</v>
          </cell>
        </row>
      </sheetData>
      <sheetData sheetId="3">
        <row r="12">
          <cell r="E12">
            <v>2714.96</v>
          </cell>
        </row>
      </sheetData>
      <sheetData sheetId="4">
        <row r="12">
          <cell r="E12">
            <v>7463.98</v>
          </cell>
        </row>
      </sheetData>
      <sheetData sheetId="5">
        <row r="12">
          <cell r="E12">
            <v>705.62</v>
          </cell>
        </row>
      </sheetData>
      <sheetData sheetId="6">
        <row r="7">
          <cell r="E7">
            <v>2504.31</v>
          </cell>
        </row>
      </sheetData>
      <sheetData sheetId="7">
        <row r="8">
          <cell r="F8">
            <v>507.28</v>
          </cell>
        </row>
      </sheetData>
      <sheetData sheetId="8">
        <row r="8">
          <cell r="E8">
            <v>1429.14</v>
          </cell>
        </row>
      </sheetData>
      <sheetData sheetId="9">
        <row r="7">
          <cell r="G7">
            <v>1817.51</v>
          </cell>
        </row>
      </sheetData>
      <sheetData sheetId="10">
        <row r="12">
          <cell r="E12">
            <v>56339.76</v>
          </cell>
        </row>
      </sheetData>
      <sheetData sheetId="11">
        <row r="5">
          <cell r="F5">
            <v>1548.18</v>
          </cell>
        </row>
      </sheetData>
      <sheetData sheetId="12">
        <row r="12">
          <cell r="E12">
            <v>105063.62</v>
          </cell>
        </row>
      </sheetData>
      <sheetData sheetId="13">
        <row r="12">
          <cell r="E12">
            <v>10042.52</v>
          </cell>
        </row>
      </sheetData>
      <sheetData sheetId="14">
        <row r="12">
          <cell r="E12">
            <v>23718.639999999999</v>
          </cell>
        </row>
      </sheetData>
      <sheetData sheetId="15"/>
      <sheetData sheetId="16">
        <row r="7">
          <cell r="G7">
            <v>104.11</v>
          </cell>
        </row>
      </sheetData>
      <sheetData sheetId="17">
        <row r="8">
          <cell r="E8">
            <v>3447.15</v>
          </cell>
        </row>
      </sheetData>
      <sheetData sheetId="18">
        <row r="7">
          <cell r="G7">
            <v>163.28</v>
          </cell>
        </row>
      </sheetData>
      <sheetData sheetId="19">
        <row r="7">
          <cell r="F7">
            <v>5433.51</v>
          </cell>
        </row>
      </sheetData>
      <sheetData sheetId="20"/>
      <sheetData sheetId="21">
        <row r="7">
          <cell r="H7">
            <v>5.2389274047884404</v>
          </cell>
        </row>
      </sheetData>
      <sheetData sheetId="22">
        <row r="22">
          <cell r="D22">
            <v>40.269333333333329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cereal yields summary"/>
      <sheetName val="Regional wheat"/>
      <sheetName val="Regional winter barley"/>
      <sheetName val="Regional spring barley"/>
      <sheetName val="Regional total barley"/>
      <sheetName val="Regional oats"/>
      <sheetName val="Regional OSR"/>
      <sheetName val="chart- wheat yields"/>
    </sheetNames>
    <sheetDataSet>
      <sheetData sheetId="0"/>
      <sheetData sheetId="1">
        <row r="135">
          <cell r="B135">
            <v>7.7</v>
          </cell>
          <cell r="C135">
            <v>5.7</v>
          </cell>
          <cell r="D135">
            <v>5.5</v>
          </cell>
          <cell r="H135">
            <v>3.5</v>
          </cell>
        </row>
      </sheetData>
      <sheetData sheetId="2"/>
      <sheetData sheetId="3"/>
      <sheetData sheetId="4">
        <row r="19">
          <cell r="P19">
            <v>5.2185039119214895</v>
          </cell>
        </row>
      </sheetData>
      <sheetData sheetId="5"/>
      <sheetData sheetId="6"/>
      <sheetData sheetId="7"/>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cereal yields summary"/>
      <sheetName val="Regional wheat"/>
      <sheetName val="Regional winter barley"/>
      <sheetName val="Regional spring barley"/>
      <sheetName val="Regional total barley"/>
      <sheetName val="Regional OSR"/>
      <sheetName val="chart- wheat yields"/>
      <sheetName val="notes"/>
      <sheetName val="2010 Cereals and veg"/>
      <sheetName val="Broiler chart"/>
      <sheetName val="Layers chart"/>
      <sheetName val="Dairy Livestock chart"/>
      <sheetName val="Milk_chart"/>
      <sheetName val="Ewe chart"/>
      <sheetName val="Suckler cattle chart"/>
      <sheetName val="Wheat chart"/>
      <sheetName val="Rye chart "/>
      <sheetName val="Barley chart"/>
      <sheetName val="Oats chart"/>
      <sheetName val="Potato chart"/>
      <sheetName val="Sugar beet chart"/>
      <sheetName val="OSR chart"/>
      <sheetName val="Horticulture chart"/>
      <sheetName val="Regional oats"/>
      <sheetName val="Livestock_impact_summary"/>
      <sheetName val="poultry_output_in_kg"/>
      <sheetName val="pork_output_in_kg"/>
      <sheetName val="beef_output_in_kg"/>
      <sheetName val="sheep_output_in_kg"/>
      <sheetName val="Non_meat_livestock_output"/>
      <sheetName val="EGGS"/>
      <sheetName val="LU by FT"/>
      <sheetName val="OLUM_Livestock"/>
      <sheetName val="Livestock_meat_output"/>
      <sheetName val="Livestock_comparison_to_base"/>
      <sheetName val="Livestock_pivot_ref"/>
      <sheetName val="Livestock pivot"/>
      <sheetName val="OLUM_liv_out"/>
      <sheetName val="2010 FBS non-org data"/>
      <sheetName val="Crop_comparison_to_base"/>
      <sheetName val="Hort_Crops"/>
      <sheetName val="Glasshouse_Hort"/>
      <sheetName val="Crop_%_for_HC"/>
      <sheetName val="Crop_pivot_2"/>
      <sheetName val="Crop_Pivot_ref"/>
      <sheetName val="Crop pivot"/>
      <sheetName val="Wheat_and_other"/>
      <sheetName val="OLUM v98 Crops"/>
      <sheetName val="Regional OSR "/>
      <sheetName val="Fodder beet 2010"/>
      <sheetName val="Potatoes AUK"/>
      <sheetName val="Pumpkins 2010"/>
      <sheetName val="Poultry slaughtered in E&amp;W"/>
      <sheetName val="Pumpkins DM"/>
      <sheetName val="Nendel et al.hort_dat"/>
      <sheetName val="Residue"/>
      <sheetName val="Crop area pivot"/>
      <sheetName val="% of seq land by Liv FT"/>
      <sheetName val="Crop_area"/>
      <sheetName val="Livestock pivot LFA beef"/>
    </sheetNames>
    <sheetDataSet>
      <sheetData sheetId="0"/>
      <sheetData sheetId="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10">
          <cell r="C10">
            <v>166159.38552850543</v>
          </cell>
        </row>
      </sheetData>
      <sheetData sheetId="25"/>
      <sheetData sheetId="26"/>
      <sheetData sheetId="27"/>
      <sheetData sheetId="28"/>
      <sheetData sheetId="29"/>
      <sheetData sheetId="30"/>
      <sheetData sheetId="31"/>
      <sheetData sheetId="32"/>
      <sheetData sheetId="33"/>
      <sheetData sheetId="34">
        <row r="99">
          <cell r="K99">
            <v>1063.0107406451427</v>
          </cell>
        </row>
      </sheetData>
      <sheetData sheetId="35"/>
      <sheetData sheetId="36"/>
      <sheetData sheetId="37"/>
      <sheetData sheetId="38">
        <row r="7">
          <cell r="D7">
            <v>26.866666666666664</v>
          </cell>
          <cell r="J7">
            <v>3.46</v>
          </cell>
          <cell r="M7">
            <v>4</v>
          </cell>
        </row>
        <row r="8">
          <cell r="D8">
            <v>34.265000000000001</v>
          </cell>
          <cell r="J8">
            <v>3.0642857142857141</v>
          </cell>
          <cell r="M8">
            <v>3.95</v>
          </cell>
        </row>
        <row r="9">
          <cell r="D9">
            <v>35.201851851851849</v>
          </cell>
          <cell r="J9">
            <v>3.2480000000000002</v>
          </cell>
          <cell r="M9">
            <v>3.7499999999999996</v>
          </cell>
        </row>
        <row r="10">
          <cell r="D10">
            <v>27.963492063492065</v>
          </cell>
          <cell r="J10">
            <v>2.8952380952380956</v>
          </cell>
          <cell r="M10">
            <v>3.1916666666666664</v>
          </cell>
        </row>
        <row r="11">
          <cell r="D11">
            <v>50.053846153846152</v>
          </cell>
          <cell r="J11">
            <v>3.0249999999999999</v>
          </cell>
          <cell r="M11">
            <v>3.12</v>
          </cell>
        </row>
        <row r="12">
          <cell r="D12">
            <v>29.744444444444444</v>
          </cell>
          <cell r="J12">
            <v>2.9018518518518523</v>
          </cell>
          <cell r="M12">
            <v>3.1916666666666664</v>
          </cell>
        </row>
        <row r="13">
          <cell r="D13">
            <v>29.35</v>
          </cell>
          <cell r="J13">
            <v>2.8353333333333333</v>
          </cell>
          <cell r="M13">
            <v>3.6999999999999997</v>
          </cell>
        </row>
        <row r="14">
          <cell r="D14">
            <v>27.961363636363636</v>
          </cell>
          <cell r="J14">
            <v>2.5966666666666667</v>
          </cell>
          <cell r="M14">
            <v>3.88</v>
          </cell>
        </row>
        <row r="16">
          <cell r="D16">
            <v>36</v>
          </cell>
          <cell r="J16">
            <v>3.0613869992441427</v>
          </cell>
        </row>
      </sheetData>
      <sheetData sheetId="39">
        <row r="41">
          <cell r="K41">
            <v>4996863.1178485528</v>
          </cell>
        </row>
      </sheetData>
      <sheetData sheetId="40"/>
      <sheetData sheetId="41"/>
      <sheetData sheetId="42">
        <row r="2">
          <cell r="A2" t="str">
            <v>w_wheat</v>
          </cell>
        </row>
      </sheetData>
      <sheetData sheetId="43"/>
      <sheetData sheetId="44">
        <row r="1">
          <cell r="A1" t="str">
            <v>Crop</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s>
    <sheetDataSet>
      <sheetData sheetId="0">
        <row r="18">
          <cell r="O18">
            <v>69.268155726581099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1 Area &amp; Production"/>
      <sheetName val="Table 2 Total Supply"/>
      <sheetName val="Table 3 HPM, Imports &amp; Exports"/>
      <sheetName val="Table 4 Area"/>
      <sheetName val="Table 5 HPM"/>
      <sheetName val="Table 6 Value of HPM"/>
      <sheetName val="Table 7 Imports Qty"/>
      <sheetName val="Table 8 Imports Value"/>
      <sheetName val="Table 9 Exports"/>
      <sheetName val="Table 10 Total Supply "/>
      <sheetName val="Table 11 Area"/>
      <sheetName val="Table 12 HPM"/>
      <sheetName val="Table 18 Exports Qty"/>
      <sheetName val="Table 16 Imports Qty"/>
      <sheetName val="Table 13 Value of HPM"/>
      <sheetName val="Table 14 Area,Yield &amp;Production"/>
      <sheetName val="Table 15 Price &amp; Value"/>
      <sheetName val="Table 17 Imports Value"/>
      <sheetName val="Table 19 Exports Value"/>
      <sheetName val="Table 20 Total Supply"/>
      <sheetName val="Table 21 Area &amp; Production "/>
      <sheetName val="Table 22 Value"/>
      <sheetName val="Table 23 Imports"/>
      <sheetName val="Table 24 Exports"/>
      <sheetName val="Table 25 Area,Yield,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AI12">
            <v>66.506502237045581</v>
          </cell>
        </row>
        <row r="15">
          <cell r="AI15">
            <v>42.433948212830373</v>
          </cell>
        </row>
        <row r="22">
          <cell r="AI22">
            <v>11.642334127571077</v>
          </cell>
        </row>
        <row r="23">
          <cell r="AI23">
            <v>39.256478853882037</v>
          </cell>
        </row>
        <row r="24">
          <cell r="AI24">
            <v>53.73478299521458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Bank Statement"/>
      <sheetName val="Table Results"/>
      <sheetName val="Section A"/>
      <sheetName val="Section B"/>
      <sheetName val="Section C1"/>
      <sheetName val="Section C2"/>
      <sheetName val="Section C3"/>
      <sheetName val="Section D"/>
      <sheetName val="StockReco"/>
      <sheetName val="Section E1"/>
      <sheetName val="Section E2"/>
      <sheetName val="H C C"/>
      <sheetName val="Section F1"/>
      <sheetName val="Section F2"/>
      <sheetName val="Financial Page"/>
      <sheetName val="Section S"/>
      <sheetName val="Section G"/>
      <sheetName val="Section I (RO Input)"/>
      <sheetName val="Section I (Calculations)"/>
      <sheetName val="Section I (Defra)"/>
      <sheetName val="Section I (Summary)"/>
      <sheetName val="Section J"/>
      <sheetName val="Section K"/>
      <sheetName val="Livestock and forage"/>
      <sheetName val="Section M1-M2"/>
      <sheetName val="Section N"/>
      <sheetName val="Section O"/>
      <sheetName val="Section P"/>
      <sheetName val="Section R"/>
      <sheetName val="Section X&amp;AA"/>
      <sheetName val="Scratch Pad"/>
      <sheetName val="BUILDEPN"/>
      <sheetName val="Build Val Calc"/>
      <sheetName val="Section Y"/>
      <sheetName val="MCDEPN"/>
      <sheetName val="LEASE &amp; HP"/>
      <sheetName val="Section T &amp; U"/>
      <sheetName val="NEW FARMERS STATEMENT"/>
      <sheetName val="CHECKS"/>
      <sheetName val="GROSS MARGINS"/>
      <sheetName val="MILK PPL"/>
      <sheetName val="HCC Breeding"/>
      <sheetName val="HCC Trading"/>
      <sheetName val="HCC Lamb"/>
      <sheetName val="Section M1-M2check"/>
      <sheetName val="Section H"/>
      <sheetName val="BLSA &amp; BL Deprn."/>
      <sheetName val="Section E1 output split"/>
      <sheetName val="SO-C"/>
      <sheetName val="Standard Output"/>
      <sheetName val="FStatement"/>
    </sheetNames>
    <sheetDataSet>
      <sheetData sheetId="0"/>
      <sheetData sheetId="1">
        <row r="3">
          <cell r="A3" t="str">
            <v>Ref</v>
          </cell>
        </row>
      </sheetData>
      <sheetData sheetId="2"/>
      <sheetData sheetId="3">
        <row r="1">
          <cell r="I1" t="str">
            <v>2009/10</v>
          </cell>
        </row>
        <row r="4">
          <cell r="H4">
            <v>421</v>
          </cell>
        </row>
        <row r="7">
          <cell r="H7">
            <v>0</v>
          </cell>
        </row>
      </sheetData>
      <sheetData sheetId="4">
        <row r="31">
          <cell r="I31">
            <v>0</v>
          </cell>
        </row>
      </sheetData>
      <sheetData sheetId="5"/>
      <sheetData sheetId="6">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sheetData>
      <sheetData sheetId="7">
        <row r="15">
          <cell r="H15">
            <v>0</v>
          </cell>
        </row>
        <row r="17">
          <cell r="H17">
            <v>0</v>
          </cell>
        </row>
        <row r="19">
          <cell r="H19">
            <v>0</v>
          </cell>
        </row>
        <row r="21">
          <cell r="H21">
            <v>0</v>
          </cell>
        </row>
        <row r="26">
          <cell r="H26">
            <v>0</v>
          </cell>
          <cell r="I26">
            <v>0</v>
          </cell>
        </row>
        <row r="30">
          <cell r="H30">
            <v>0</v>
          </cell>
          <cell r="I30">
            <v>0</v>
          </cell>
        </row>
        <row r="31">
          <cell r="H31">
            <v>0</v>
          </cell>
        </row>
        <row r="32">
          <cell r="H32">
            <v>0</v>
          </cell>
        </row>
        <row r="33">
          <cell r="H33">
            <v>0</v>
          </cell>
        </row>
        <row r="34">
          <cell r="H34">
            <v>0</v>
          </cell>
        </row>
        <row r="35">
          <cell r="H35">
            <v>0</v>
          </cell>
        </row>
      </sheetData>
      <sheetData sheetId="8"/>
      <sheetData sheetId="9"/>
      <sheetData sheetId="10">
        <row r="12">
          <cell r="Z12">
            <v>0</v>
          </cell>
        </row>
        <row r="13">
          <cell r="Z13">
            <v>0</v>
          </cell>
        </row>
        <row r="22">
          <cell r="Z22">
            <v>0</v>
          </cell>
        </row>
        <row r="23">
          <cell r="Z23">
            <v>0</v>
          </cell>
        </row>
        <row r="24">
          <cell r="Z24">
            <v>0</v>
          </cell>
        </row>
        <row r="25">
          <cell r="Z25">
            <v>0</v>
          </cell>
        </row>
        <row r="26">
          <cell r="Z26">
            <v>0</v>
          </cell>
        </row>
        <row r="28">
          <cell r="Z28">
            <v>0</v>
          </cell>
        </row>
        <row r="29">
          <cell r="Z29">
            <v>0</v>
          </cell>
        </row>
        <row r="30">
          <cell r="Z30">
            <v>0</v>
          </cell>
        </row>
        <row r="31">
          <cell r="Z31">
            <v>0</v>
          </cell>
        </row>
        <row r="33">
          <cell r="Z33">
            <v>0</v>
          </cell>
        </row>
      </sheetData>
      <sheetData sheetId="11">
        <row r="10">
          <cell r="Z10">
            <v>0</v>
          </cell>
        </row>
        <row r="11">
          <cell r="Z11">
            <v>0</v>
          </cell>
        </row>
        <row r="12">
          <cell r="Z12">
            <v>0</v>
          </cell>
        </row>
        <row r="13">
          <cell r="Z13">
            <v>0</v>
          </cell>
        </row>
        <row r="15">
          <cell r="Z15">
            <v>0</v>
          </cell>
        </row>
        <row r="16">
          <cell r="Z16">
            <v>0</v>
          </cell>
        </row>
        <row r="25">
          <cell r="Z25">
            <v>0</v>
          </cell>
        </row>
        <row r="26">
          <cell r="Z26">
            <v>0</v>
          </cell>
        </row>
        <row r="27">
          <cell r="Z27">
            <v>0</v>
          </cell>
        </row>
        <row r="28">
          <cell r="Z28">
            <v>0</v>
          </cell>
        </row>
        <row r="29">
          <cell r="Z29">
            <v>0</v>
          </cell>
        </row>
        <row r="31">
          <cell r="Z31">
            <v>0</v>
          </cell>
        </row>
        <row r="40">
          <cell r="Z40">
            <v>0</v>
          </cell>
        </row>
        <row r="41">
          <cell r="Z41">
            <v>0</v>
          </cell>
        </row>
        <row r="43">
          <cell r="Z43">
            <v>0</v>
          </cell>
        </row>
        <row r="44">
          <cell r="Z44">
            <v>0</v>
          </cell>
        </row>
        <row r="45">
          <cell r="Z45">
            <v>0</v>
          </cell>
        </row>
        <row r="46">
          <cell r="Z46">
            <v>0</v>
          </cell>
        </row>
        <row r="51">
          <cell r="Z51">
            <v>0</v>
          </cell>
        </row>
        <row r="52">
          <cell r="Z52">
            <v>0</v>
          </cell>
        </row>
        <row r="55">
          <cell r="Z55">
            <v>0</v>
          </cell>
        </row>
        <row r="56">
          <cell r="Z56">
            <v>0</v>
          </cell>
        </row>
        <row r="57">
          <cell r="Z57">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9">
          <cell r="E9">
            <v>0</v>
          </cell>
        </row>
      </sheetData>
      <sheetData sheetId="38"/>
      <sheetData sheetId="39"/>
      <sheetData sheetId="40"/>
      <sheetData sheetId="41"/>
      <sheetData sheetId="42"/>
      <sheetData sheetId="43"/>
      <sheetData sheetId="44"/>
      <sheetData sheetId="45"/>
      <sheetData sheetId="46">
        <row r="38">
          <cell r="H38">
            <v>0</v>
          </cell>
        </row>
      </sheetData>
      <sheetData sheetId="47"/>
      <sheetData sheetId="48"/>
      <sheetData sheetId="49"/>
      <sheetData sheetId="50">
        <row r="4">
          <cell r="E4">
            <v>421</v>
          </cell>
        </row>
      </sheetData>
      <sheetData sheetId="51"/>
    </sheetDataSet>
  </externalBook>
</externalLink>
</file>

<file path=xl/persons/person.xml><?xml version="1.0" encoding="utf-8"?>
<personList xmlns="http://schemas.microsoft.com/office/spreadsheetml/2018/threadedcomments" xmlns:x="http://schemas.openxmlformats.org/spreadsheetml/2006/main">
  <person displayName="Jo Smith" id="{1F48836E-E5F5-4ECE-9B67-90A143F8B65D}" userId="S::jo.s@organicresearchcentre.com::11d5f242-724a-490d-b007-d0adbcafdbd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17" dT="2019-02-22T14:16:52.65" personId="{1F48836E-E5F5-4ECE-9B67-90A143F8B65D}" id="{1D5A9E67-0D6B-480A-9DB2-F66BC8B8E337}">
    <text>average yields 2.67t/ha in Spain and2.92 t/ha in Italy. Taken from European Commission, Directorate-General for Agriculture and Rural Development Economic analysis of teh oliver sector July 2012</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vegetables:%20ENERGY,%20EMISSIONS,%20ECOLOGY%20AND%20AGRICULTURAL%20SYSTEM%20INTEGRATION%20(EASI)%20tool%20(Smith%20et%20al%202010)%20(http://www.organicresearchcentre.com/manage/authincludes/article_uploads/Research/Resources/Brief%20summary%20of%20EASI.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microsoft.com/office/2017/10/relationships/threadedComment" Target="../threadedComments/threadedComment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AF134"/>
  <sheetViews>
    <sheetView showGridLines="0" tabSelected="1" zoomScale="90" zoomScaleNormal="90" workbookViewId="0">
      <selection activeCell="V46" sqref="V46"/>
    </sheetView>
  </sheetViews>
  <sheetFormatPr defaultColWidth="8.85546875" defaultRowHeight="15"/>
  <cols>
    <col min="1" max="1" width="3.28515625" style="56" customWidth="1"/>
    <col min="2" max="2" width="8.85546875" style="56" customWidth="1"/>
    <col min="3" max="3" width="2.42578125" style="56" customWidth="1"/>
    <col min="4" max="4" width="9.42578125" style="56" customWidth="1"/>
    <col min="5" max="16" width="8.85546875" style="56"/>
    <col min="17" max="17" width="22.28515625" style="56" customWidth="1"/>
    <col min="18" max="16384" width="8.85546875" style="56"/>
  </cols>
  <sheetData>
    <row r="1" spans="5:32" ht="15" customHeight="1">
      <c r="E1" s="1046" t="s">
        <v>1721</v>
      </c>
      <c r="F1" s="1046"/>
      <c r="G1" s="1046"/>
      <c r="H1" s="1046"/>
      <c r="I1" s="1046"/>
      <c r="J1" s="1046"/>
      <c r="K1" s="1046"/>
      <c r="L1" s="1046"/>
      <c r="M1" s="1046"/>
      <c r="N1" s="1046"/>
      <c r="O1" s="1046"/>
      <c r="P1" s="1046"/>
      <c r="Q1" s="1046"/>
      <c r="R1" s="1046"/>
      <c r="S1" s="1046"/>
      <c r="T1" s="1046"/>
    </row>
    <row r="2" spans="5:32" ht="15" customHeight="1">
      <c r="E2" s="1046"/>
      <c r="F2" s="1046"/>
      <c r="G2" s="1046"/>
      <c r="H2" s="1046"/>
      <c r="I2" s="1046"/>
      <c r="J2" s="1046"/>
      <c r="K2" s="1046"/>
      <c r="L2" s="1046"/>
      <c r="M2" s="1046"/>
      <c r="N2" s="1046"/>
      <c r="O2" s="1046"/>
      <c r="P2" s="1046"/>
      <c r="Q2" s="1046"/>
      <c r="R2" s="1046"/>
      <c r="S2" s="1046"/>
      <c r="T2" s="1046"/>
    </row>
    <row r="3" spans="5:32" ht="15" customHeight="1">
      <c r="E3" s="1046"/>
      <c r="F3" s="1046"/>
      <c r="G3" s="1046"/>
      <c r="H3" s="1046"/>
      <c r="I3" s="1046"/>
      <c r="J3" s="1046"/>
      <c r="K3" s="1046"/>
      <c r="L3" s="1046"/>
      <c r="M3" s="1046"/>
      <c r="N3" s="1046"/>
      <c r="O3" s="1046"/>
      <c r="P3" s="1046"/>
      <c r="Q3" s="1046"/>
      <c r="R3" s="1046"/>
      <c r="S3" s="1046"/>
      <c r="T3" s="1046"/>
    </row>
    <row r="4" spans="5:32" ht="36.75" customHeight="1">
      <c r="E4" s="1046"/>
      <c r="F4" s="1046"/>
      <c r="G4" s="1046"/>
      <c r="H4" s="1046"/>
      <c r="I4" s="1046"/>
      <c r="J4" s="1046"/>
      <c r="K4" s="1046"/>
      <c r="L4" s="1046"/>
      <c r="M4" s="1046"/>
      <c r="N4" s="1046"/>
      <c r="O4" s="1046"/>
      <c r="P4" s="1046"/>
      <c r="Q4" s="1046"/>
      <c r="R4" s="1046"/>
      <c r="S4" s="1046"/>
      <c r="T4" s="1046"/>
    </row>
    <row r="6" spans="5:32">
      <c r="V6" s="981" t="s">
        <v>1648</v>
      </c>
    </row>
    <row r="7" spans="5:32">
      <c r="V7" s="981"/>
    </row>
    <row r="8" spans="5:32">
      <c r="V8" s="982"/>
      <c r="W8" s="56" t="s">
        <v>1704</v>
      </c>
    </row>
    <row r="9" spans="5:32">
      <c r="V9" s="315"/>
      <c r="W9"/>
    </row>
    <row r="10" spans="5:32">
      <c r="V10" s="983"/>
      <c r="W10" s="56" t="s">
        <v>1669</v>
      </c>
    </row>
    <row r="11" spans="5:32">
      <c r="V11" s="662"/>
    </row>
    <row r="12" spans="5:32">
      <c r="V12" s="308">
        <v>0</v>
      </c>
      <c r="W12" s="56" t="s">
        <v>1703</v>
      </c>
      <c r="AF12" s="56" t="s">
        <v>1650</v>
      </c>
    </row>
    <row r="13" spans="5:32">
      <c r="V13" s="662"/>
    </row>
    <row r="14" spans="5:32">
      <c r="V14" s="663">
        <v>0</v>
      </c>
      <c r="W14" s="56" t="s">
        <v>584</v>
      </c>
    </row>
    <row r="15" spans="5:32">
      <c r="V15" s="662"/>
    </row>
    <row r="16" spans="5:32">
      <c r="V16" s="924">
        <v>0</v>
      </c>
      <c r="W16" s="56" t="s">
        <v>489</v>
      </c>
    </row>
    <row r="17" spans="13:31">
      <c r="V17" s="662"/>
    </row>
    <row r="18" spans="13:31">
      <c r="V18" s="664">
        <v>0</v>
      </c>
      <c r="W18" s="56" t="s">
        <v>507</v>
      </c>
    </row>
    <row r="19" spans="13:31">
      <c r="V19" s="662"/>
      <c r="X19" s="57"/>
      <c r="AD19" s="57"/>
      <c r="AE19" s="57"/>
    </row>
    <row r="20" spans="13:31">
      <c r="V20" s="665"/>
      <c r="W20" s="56" t="s">
        <v>1649</v>
      </c>
    </row>
    <row r="22" spans="13:31">
      <c r="M22" s="981"/>
    </row>
    <row r="23" spans="13:31">
      <c r="M23" s="666"/>
    </row>
    <row r="24" spans="13:31">
      <c r="M24" s="315"/>
    </row>
    <row r="25" spans="13:31">
      <c r="M25" s="315"/>
    </row>
    <row r="26" spans="13:31">
      <c r="M26" s="667"/>
    </row>
    <row r="27" spans="13:31">
      <c r="M27" s="315"/>
    </row>
    <row r="28" spans="13:31">
      <c r="M28" s="315"/>
      <c r="R28" s="56" t="s">
        <v>1650</v>
      </c>
    </row>
    <row r="29" spans="13:31">
      <c r="M29" s="315"/>
    </row>
    <row r="30" spans="13:31">
      <c r="M30" s="668"/>
    </row>
    <row r="31" spans="13:31">
      <c r="M31" s="315"/>
      <c r="O31" s="57"/>
      <c r="P31" s="57"/>
    </row>
    <row r="32" spans="13:31">
      <c r="M32" s="315"/>
    </row>
    <row r="33" spans="13:17">
      <c r="M33" s="315"/>
    </row>
    <row r="34" spans="13:17">
      <c r="M34" s="315"/>
    </row>
    <row r="35" spans="13:17">
      <c r="M35" s="315"/>
    </row>
    <row r="36" spans="13:17">
      <c r="M36" s="315"/>
    </row>
    <row r="37" spans="13:17">
      <c r="M37" s="315"/>
    </row>
    <row r="38" spans="13:17">
      <c r="M38" s="315"/>
    </row>
    <row r="39" spans="13:17">
      <c r="M39" s="315"/>
    </row>
    <row r="40" spans="13:17">
      <c r="M40" s="315"/>
    </row>
    <row r="41" spans="13:17">
      <c r="M41" s="315"/>
    </row>
    <row r="42" spans="13:17">
      <c r="M42" s="668"/>
    </row>
    <row r="43" spans="13:17">
      <c r="M43" s="315"/>
      <c r="O43" s="57"/>
      <c r="P43" s="57"/>
      <c r="Q43" s="57"/>
    </row>
    <row r="44" spans="13:17">
      <c r="M44" s="315"/>
      <c r="O44" s="57"/>
      <c r="P44" s="57"/>
      <c r="Q44" s="57"/>
    </row>
    <row r="45" spans="13:17">
      <c r="M45" s="315"/>
      <c r="O45" s="57"/>
      <c r="P45" s="57"/>
      <c r="Q45" s="57"/>
    </row>
    <row r="46" spans="13:17">
      <c r="M46" s="315"/>
      <c r="O46" s="57"/>
      <c r="P46" s="57"/>
      <c r="Q46" s="57"/>
    </row>
    <row r="47" spans="13:17">
      <c r="M47" s="315"/>
      <c r="O47" s="57"/>
      <c r="P47" s="57"/>
      <c r="Q47" s="57"/>
    </row>
    <row r="48" spans="13:17">
      <c r="M48" s="315"/>
      <c r="O48" s="57"/>
      <c r="P48" s="57"/>
      <c r="Q48" s="57"/>
    </row>
    <row r="49" spans="2:30">
      <c r="M49" s="315"/>
      <c r="O49" s="57"/>
      <c r="P49" s="57"/>
      <c r="Q49" s="57"/>
    </row>
    <row r="50" spans="2:30">
      <c r="M50" s="315"/>
    </row>
    <row r="51" spans="2:30">
      <c r="B51" s="57"/>
      <c r="C51" s="57"/>
      <c r="D51" s="57"/>
      <c r="E51" s="57"/>
      <c r="F51" s="57"/>
      <c r="G51" s="57"/>
      <c r="M51"/>
    </row>
    <row r="52" spans="2:30" ht="21">
      <c r="B52" s="1044" t="s">
        <v>1831</v>
      </c>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row>
    <row r="53" spans="2:30">
      <c r="B53" s="1037" t="s">
        <v>1830</v>
      </c>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038"/>
      <c r="AB53" s="1038"/>
      <c r="AC53" s="1038"/>
      <c r="AD53" s="1038"/>
    </row>
    <row r="54" spans="2:30">
      <c r="B54" s="1038"/>
      <c r="C54" s="1039" t="s">
        <v>1833</v>
      </c>
      <c r="D54" s="1040"/>
      <c r="E54" s="1040"/>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038"/>
      <c r="AB54" s="1038"/>
      <c r="AC54" s="1038"/>
      <c r="AD54" s="1038"/>
    </row>
    <row r="55" spans="2:30">
      <c r="B55" s="1038"/>
      <c r="C55" s="1041" t="s">
        <v>1818</v>
      </c>
      <c r="D55" s="1040"/>
      <c r="E55" s="1040"/>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038"/>
      <c r="AB55" s="1038"/>
      <c r="AC55" s="1038"/>
      <c r="AD55" s="1038"/>
    </row>
    <row r="56" spans="2:30">
      <c r="B56" s="1038"/>
      <c r="C56" s="1042" t="s">
        <v>1817</v>
      </c>
      <c r="D56" s="1040"/>
      <c r="E56" s="1040"/>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038"/>
      <c r="AB56" s="1038"/>
      <c r="AC56" s="1038"/>
      <c r="AD56" s="1038"/>
    </row>
    <row r="57" spans="2:30">
      <c r="B57" s="1038"/>
      <c r="C57" s="1041" t="s">
        <v>1819</v>
      </c>
      <c r="D57" s="1040"/>
      <c r="E57" s="1040"/>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038"/>
      <c r="AB57" s="1038"/>
      <c r="AC57" s="1038"/>
      <c r="AD57" s="1038"/>
    </row>
    <row r="58" spans="2:30">
      <c r="B58" s="1038"/>
      <c r="C58" s="1041" t="s">
        <v>1820</v>
      </c>
      <c r="D58" s="1040"/>
      <c r="E58" s="1040"/>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038"/>
      <c r="AB58" s="1038"/>
      <c r="AC58" s="1038"/>
      <c r="AD58" s="1038"/>
    </row>
    <row r="59" spans="2:30">
      <c r="B59" s="1038"/>
      <c r="C59" s="1041" t="s">
        <v>1821</v>
      </c>
      <c r="D59" s="1040"/>
      <c r="E59" s="1040"/>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c r="AC59" s="1038"/>
      <c r="AD59" s="1038"/>
    </row>
    <row r="60" spans="2:30">
      <c r="B60" s="1038"/>
      <c r="C60" s="1041" t="s">
        <v>1822</v>
      </c>
      <c r="D60" s="1040"/>
      <c r="E60" s="1040"/>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038"/>
      <c r="AB60" s="1038"/>
      <c r="AC60" s="1038"/>
      <c r="AD60" s="1038"/>
    </row>
    <row r="61" spans="2:30">
      <c r="B61" s="1038"/>
      <c r="C61" s="1041" t="s">
        <v>1823</v>
      </c>
      <c r="D61" s="1040"/>
      <c r="E61" s="1040"/>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038"/>
      <c r="AB61" s="1038"/>
      <c r="AC61" s="1038"/>
      <c r="AD61" s="1038"/>
    </row>
    <row r="62" spans="2:30">
      <c r="B62" s="1038"/>
      <c r="C62" s="1041" t="s">
        <v>1824</v>
      </c>
      <c r="D62" s="1040"/>
      <c r="E62" s="1040"/>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038"/>
      <c r="AB62" s="1038"/>
      <c r="AC62" s="1038"/>
      <c r="AD62" s="1038"/>
    </row>
    <row r="63" spans="2:30">
      <c r="B63" s="1038"/>
      <c r="C63" s="1041"/>
      <c r="D63" s="1040"/>
      <c r="E63" s="1040"/>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038"/>
      <c r="AB63" s="1038"/>
      <c r="AC63" s="1038"/>
      <c r="AD63" s="1038"/>
    </row>
    <row r="64" spans="2:30">
      <c r="B64" s="1038"/>
      <c r="C64" s="1039" t="s">
        <v>1834</v>
      </c>
      <c r="D64" s="1040"/>
      <c r="E64" s="1040"/>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038"/>
      <c r="AB64" s="1038"/>
      <c r="AC64" s="1038"/>
      <c r="AD64" s="1038"/>
    </row>
    <row r="65" spans="2:30">
      <c r="B65" s="1038"/>
      <c r="C65" s="1043" t="s">
        <v>1743</v>
      </c>
      <c r="D65" s="1040"/>
      <c r="E65" s="1040"/>
      <c r="F65" s="1038"/>
      <c r="G65" s="1038"/>
      <c r="H65" s="1038"/>
      <c r="I65" s="1038"/>
      <c r="J65" s="1038"/>
      <c r="K65" s="1038"/>
      <c r="L65" s="1038"/>
      <c r="M65" s="1038"/>
      <c r="N65" s="1038"/>
      <c r="O65" s="1038"/>
      <c r="P65" s="1038"/>
      <c r="Q65" s="1038"/>
      <c r="R65" s="1038"/>
      <c r="S65" s="1038"/>
      <c r="T65" s="1038"/>
      <c r="U65" s="1038"/>
      <c r="V65" s="1038"/>
      <c r="W65" s="1038"/>
      <c r="X65" s="1038"/>
      <c r="Y65" s="1038"/>
      <c r="Z65" s="1038"/>
      <c r="AA65" s="1038"/>
      <c r="AB65" s="1038"/>
      <c r="AC65" s="1038"/>
      <c r="AD65" s="1038"/>
    </row>
    <row r="66" spans="2:30">
      <c r="B66" s="1038"/>
      <c r="C66" s="1041" t="s">
        <v>1825</v>
      </c>
      <c r="D66" s="1040"/>
      <c r="E66" s="1040"/>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row>
    <row r="67" spans="2:30">
      <c r="B67" s="1038"/>
      <c r="C67" s="1041" t="s">
        <v>1826</v>
      </c>
      <c r="D67" s="1040"/>
      <c r="E67" s="1040"/>
      <c r="F67" s="1038"/>
      <c r="G67" s="1038"/>
      <c r="H67" s="1038"/>
      <c r="I67" s="1038"/>
      <c r="J67" s="1038"/>
      <c r="K67" s="1038"/>
      <c r="L67" s="1038"/>
      <c r="M67" s="1038"/>
      <c r="N67" s="1038"/>
      <c r="O67" s="1038"/>
      <c r="P67" s="1038"/>
      <c r="Q67" s="1038"/>
      <c r="R67" s="1038"/>
      <c r="S67" s="1038"/>
      <c r="T67" s="1038"/>
      <c r="U67" s="1038"/>
      <c r="V67" s="1038"/>
      <c r="W67" s="1038"/>
      <c r="X67" s="1038"/>
      <c r="Y67" s="1038"/>
      <c r="Z67" s="1038"/>
      <c r="AA67" s="1038"/>
      <c r="AB67" s="1038"/>
      <c r="AC67" s="1038"/>
      <c r="AD67" s="1038"/>
    </row>
    <row r="68" spans="2:30">
      <c r="B68" s="1038"/>
      <c r="C68" s="1041" t="s">
        <v>1827</v>
      </c>
      <c r="D68" s="1040"/>
      <c r="E68" s="1040"/>
      <c r="F68" s="1038"/>
      <c r="G68" s="1038"/>
      <c r="H68" s="1038"/>
      <c r="I68" s="1038"/>
      <c r="J68" s="1038"/>
      <c r="K68" s="1038"/>
      <c r="L68" s="1038"/>
      <c r="M68" s="1038"/>
      <c r="N68" s="1038"/>
      <c r="O68" s="1038"/>
      <c r="P68" s="1038"/>
      <c r="Q68" s="1038"/>
      <c r="R68" s="1038"/>
      <c r="S68" s="1038"/>
      <c r="T68" s="1038"/>
      <c r="U68" s="1038"/>
      <c r="V68" s="1038"/>
      <c r="W68" s="1038"/>
      <c r="X68" s="1038"/>
      <c r="Y68" s="1038"/>
      <c r="Z68" s="1038"/>
      <c r="AA68" s="1038"/>
      <c r="AB68" s="1038"/>
      <c r="AC68" s="1038"/>
      <c r="AD68" s="1038"/>
    </row>
    <row r="69" spans="2:30">
      <c r="B69" s="1038"/>
      <c r="C69" s="1041" t="s">
        <v>1828</v>
      </c>
      <c r="D69" s="1040"/>
      <c r="E69" s="1040"/>
      <c r="F69" s="1038"/>
      <c r="G69" s="1038"/>
      <c r="H69" s="1038"/>
      <c r="I69" s="1038"/>
      <c r="J69" s="1038"/>
      <c r="K69" s="1038"/>
      <c r="L69" s="1038"/>
      <c r="M69" s="1038"/>
      <c r="N69" s="1038"/>
      <c r="O69" s="1038"/>
      <c r="P69" s="1038"/>
      <c r="Q69" s="1038"/>
      <c r="R69" s="1038"/>
      <c r="S69" s="1038"/>
      <c r="T69" s="1038"/>
      <c r="U69" s="1038"/>
      <c r="V69" s="1038"/>
      <c r="W69" s="1038"/>
      <c r="X69" s="1038"/>
      <c r="Y69" s="1038"/>
      <c r="Z69" s="1038"/>
      <c r="AA69" s="1038"/>
      <c r="AB69" s="1038"/>
      <c r="AC69" s="1038"/>
      <c r="AD69" s="1038"/>
    </row>
    <row r="70" spans="2:30">
      <c r="B70" s="1038"/>
      <c r="C70" s="1041" t="s">
        <v>1829</v>
      </c>
      <c r="D70" s="1040"/>
      <c r="E70" s="1040"/>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038"/>
      <c r="AB70" s="1038"/>
      <c r="AC70" s="1038"/>
      <c r="AD70" s="1038"/>
    </row>
    <row r="71" spans="2:30">
      <c r="B71" s="1038"/>
      <c r="C71" s="1041"/>
      <c r="D71" s="1040"/>
      <c r="E71" s="1040"/>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038"/>
      <c r="AB71" s="1038"/>
      <c r="AC71" s="1038"/>
      <c r="AD71" s="1038"/>
    </row>
    <row r="72" spans="2:30">
      <c r="B72" s="1038"/>
      <c r="C72" s="1039" t="s">
        <v>1705</v>
      </c>
      <c r="D72" s="1040"/>
      <c r="E72" s="1040"/>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c r="AC72" s="1038"/>
      <c r="AD72" s="1038"/>
    </row>
    <row r="73" spans="2:30">
      <c r="B73" s="1038"/>
      <c r="C73" s="1041" t="s">
        <v>1832</v>
      </c>
      <c r="D73" s="1040"/>
      <c r="E73" s="1040"/>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038"/>
      <c r="AB73" s="1038"/>
      <c r="AC73" s="1038"/>
      <c r="AD73" s="1038"/>
    </row>
    <row r="74" spans="2:30">
      <c r="B74" s="1038"/>
      <c r="C74" s="1041"/>
      <c r="D74" s="1040"/>
      <c r="E74" s="1040"/>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038"/>
      <c r="AB74" s="1038"/>
      <c r="AC74" s="1038"/>
      <c r="AD74" s="1038"/>
    </row>
    <row r="75" spans="2:30">
      <c r="B75" s="1038"/>
      <c r="C75" s="1039" t="s">
        <v>1706</v>
      </c>
      <c r="D75" s="1040"/>
      <c r="E75" s="1040"/>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038"/>
      <c r="AB75" s="1038"/>
      <c r="AC75" s="1038"/>
      <c r="AD75" s="1038"/>
    </row>
    <row r="76" spans="2:30">
      <c r="B76" s="1038"/>
      <c r="C76" s="1045" t="s">
        <v>1836</v>
      </c>
      <c r="D76" s="1040"/>
      <c r="E76" s="1040"/>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038"/>
      <c r="AB76" s="1038"/>
      <c r="AC76" s="1038"/>
      <c r="AD76" s="1038"/>
    </row>
    <row r="77" spans="2:30">
      <c r="B77" s="1038"/>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038"/>
      <c r="AB77" s="1038"/>
      <c r="AC77" s="1038"/>
      <c r="AD77" s="1038"/>
    </row>
    <row r="78" spans="2:30">
      <c r="B78" s="1037" t="s">
        <v>1731</v>
      </c>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038"/>
      <c r="AB78" s="1038"/>
      <c r="AC78" s="1038"/>
      <c r="AD78" s="1038"/>
    </row>
    <row r="79" spans="2:30">
      <c r="B79" s="1038"/>
      <c r="C79" s="1038" t="s">
        <v>1835</v>
      </c>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038"/>
      <c r="AB79" s="1038"/>
      <c r="AC79" s="1038"/>
      <c r="AD79" s="1038"/>
    </row>
    <row r="80" spans="2:30">
      <c r="B80" s="1038"/>
      <c r="C80" s="1038" t="s">
        <v>1732</v>
      </c>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038"/>
      <c r="AB80" s="1038"/>
      <c r="AC80" s="1038"/>
      <c r="AD80" s="1038"/>
    </row>
    <row r="81" spans="2:30">
      <c r="B81" s="1038"/>
      <c r="C81" s="1038" t="s">
        <v>1733</v>
      </c>
      <c r="D81" s="1038"/>
      <c r="E81" s="1038"/>
      <c r="F81" s="1040"/>
      <c r="G81" s="1038"/>
      <c r="H81" s="1038"/>
      <c r="I81" s="1038"/>
      <c r="J81" s="1038"/>
      <c r="K81" s="1038"/>
      <c r="L81" s="1038"/>
      <c r="M81" s="1038"/>
      <c r="N81" s="1038"/>
      <c r="O81" s="1038"/>
      <c r="P81" s="1038"/>
      <c r="Q81" s="1038"/>
      <c r="R81" s="1038"/>
      <c r="S81" s="1038"/>
      <c r="T81" s="1038"/>
      <c r="U81" s="1038"/>
      <c r="V81" s="1038"/>
      <c r="W81" s="1038"/>
      <c r="X81" s="1038"/>
      <c r="Y81" s="1038"/>
      <c r="Z81" s="1038"/>
      <c r="AA81" s="1038"/>
      <c r="AB81" s="1038"/>
      <c r="AC81" s="1038"/>
      <c r="AD81" s="1038"/>
    </row>
    <row r="82" spans="2:30">
      <c r="B82" s="1038"/>
      <c r="C82" s="1038" t="s">
        <v>1734</v>
      </c>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038"/>
      <c r="AB82" s="1038"/>
      <c r="AC82" s="1038"/>
      <c r="AD82" s="1038"/>
    </row>
    <row r="83" spans="2:30">
      <c r="B83" s="1038"/>
      <c r="C83" s="1038" t="s">
        <v>1735</v>
      </c>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038"/>
      <c r="AB83" s="1038"/>
      <c r="AC83" s="1038"/>
      <c r="AD83" s="1038"/>
    </row>
    <row r="84" spans="2:30">
      <c r="B84" s="1038"/>
      <c r="C84" s="1038" t="s">
        <v>1736</v>
      </c>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c r="AC84" s="1038"/>
      <c r="AD84" s="1038"/>
    </row>
    <row r="85" spans="2:30">
      <c r="B85" s="1038"/>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038"/>
      <c r="AB85" s="1038"/>
      <c r="AC85" s="1038"/>
      <c r="AD85" s="1038"/>
    </row>
    <row r="86" spans="2:30">
      <c r="B86" s="1037" t="s">
        <v>1737</v>
      </c>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038"/>
      <c r="AB86" s="1038"/>
      <c r="AC86" s="1038"/>
      <c r="AD86" s="1038"/>
    </row>
    <row r="87" spans="2:30">
      <c r="B87" s="1038"/>
      <c r="C87" s="1038" t="s">
        <v>1738</v>
      </c>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038"/>
      <c r="AB87" s="1038"/>
      <c r="AC87" s="1038"/>
      <c r="AD87" s="1038"/>
    </row>
    <row r="88" spans="2:30">
      <c r="B88" s="1038"/>
      <c r="C88" s="1038" t="s">
        <v>1739</v>
      </c>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038"/>
      <c r="AB88" s="1038"/>
      <c r="AC88" s="1038"/>
      <c r="AD88" s="1038"/>
    </row>
    <row r="89" spans="2:30">
      <c r="B89" s="1038"/>
      <c r="C89" s="1038" t="s">
        <v>1740</v>
      </c>
      <c r="D89" s="1038"/>
      <c r="E89" s="1038"/>
      <c r="F89" s="1038"/>
      <c r="G89" s="1038"/>
      <c r="H89" s="1038"/>
      <c r="I89" s="1038"/>
      <c r="J89" s="1038"/>
      <c r="K89" s="1038"/>
      <c r="L89" s="1038"/>
      <c r="M89" s="1038"/>
      <c r="N89" s="1038"/>
      <c r="O89" s="1038"/>
      <c r="P89" s="1038"/>
      <c r="Q89" s="1038"/>
      <c r="R89" s="1038"/>
      <c r="S89" s="1038"/>
      <c r="T89" s="1038"/>
      <c r="U89" s="1038"/>
      <c r="V89" s="1038"/>
      <c r="W89" s="1038"/>
      <c r="X89" s="1038"/>
      <c r="Y89" s="1038"/>
      <c r="Z89" s="1038"/>
      <c r="AA89" s="1038"/>
      <c r="AB89" s="1038"/>
      <c r="AC89" s="1038"/>
      <c r="AD89" s="1038"/>
    </row>
    <row r="90" spans="2:30">
      <c r="B90" s="1038"/>
      <c r="C90" s="1038" t="s">
        <v>1741</v>
      </c>
      <c r="D90" s="1038"/>
      <c r="E90" s="1038"/>
      <c r="F90" s="1038"/>
      <c r="G90" s="1038"/>
      <c r="H90" s="1038"/>
      <c r="I90" s="1038"/>
      <c r="J90" s="1038"/>
      <c r="K90" s="1038"/>
      <c r="L90" s="1038"/>
      <c r="M90" s="1038"/>
      <c r="N90" s="1038"/>
      <c r="O90" s="1038"/>
      <c r="P90" s="1038"/>
      <c r="Q90" s="1038"/>
      <c r="R90" s="1038"/>
      <c r="S90" s="1038"/>
      <c r="T90" s="1038"/>
      <c r="U90" s="1038"/>
      <c r="V90" s="1038"/>
      <c r="W90" s="1038"/>
      <c r="X90" s="1038"/>
      <c r="Y90" s="1038"/>
      <c r="Z90" s="1038"/>
      <c r="AA90" s="1038"/>
      <c r="AB90" s="1038"/>
      <c r="AC90" s="1038"/>
      <c r="AD90" s="1038"/>
    </row>
    <row r="91" spans="2:30">
      <c r="B91" s="1038"/>
      <c r="C91" s="1038"/>
      <c r="D91" s="1038"/>
      <c r="E91" s="1038"/>
      <c r="F91" s="1038"/>
      <c r="G91" s="1038"/>
      <c r="H91" s="1038"/>
      <c r="I91" s="1038"/>
      <c r="J91" s="1038"/>
      <c r="K91" s="1038"/>
      <c r="L91" s="1038"/>
      <c r="M91" s="1038"/>
      <c r="N91" s="1038"/>
      <c r="O91" s="1038"/>
      <c r="P91" s="1038"/>
      <c r="Q91" s="1038"/>
      <c r="R91" s="1038"/>
      <c r="S91" s="1038"/>
      <c r="T91" s="1038"/>
      <c r="U91" s="1038"/>
      <c r="V91" s="1038"/>
      <c r="W91" s="1038"/>
      <c r="X91" s="1038"/>
      <c r="Y91" s="1038"/>
      <c r="Z91" s="1038"/>
      <c r="AA91" s="1038"/>
      <c r="AB91" s="1038"/>
      <c r="AC91" s="1038"/>
      <c r="AD91" s="1038"/>
    </row>
    <row r="92" spans="2:30">
      <c r="B92" s="1037" t="s">
        <v>1742</v>
      </c>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038"/>
      <c r="AB92" s="1038"/>
      <c r="AC92" s="1038"/>
      <c r="AD92" s="1038"/>
    </row>
    <row r="93" spans="2:30">
      <c r="B93" s="1038"/>
      <c r="C93" s="1038" t="s">
        <v>1743</v>
      </c>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038"/>
      <c r="AB93" s="1038"/>
      <c r="AC93" s="1038"/>
      <c r="AD93" s="1038"/>
    </row>
    <row r="94" spans="2:30">
      <c r="B94" s="1038"/>
      <c r="C94" s="1038" t="s">
        <v>1744</v>
      </c>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038"/>
      <c r="AB94" s="1038"/>
      <c r="AC94" s="1038"/>
      <c r="AD94" s="1038"/>
    </row>
    <row r="95" spans="2:30">
      <c r="B95" s="1038"/>
      <c r="C95" s="1038" t="s">
        <v>1745</v>
      </c>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038"/>
      <c r="AB95" s="1038"/>
      <c r="AC95" s="1038"/>
      <c r="AD95" s="1038"/>
    </row>
    <row r="96" spans="2:30">
      <c r="B96" s="1038"/>
      <c r="C96" s="1038" t="s">
        <v>1741</v>
      </c>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038"/>
      <c r="AB96" s="1038"/>
      <c r="AC96" s="1038"/>
      <c r="AD96" s="1038"/>
    </row>
    <row r="97" spans="2:30">
      <c r="B97" s="1038"/>
      <c r="C97" s="1038" t="s">
        <v>1746</v>
      </c>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038"/>
      <c r="AB97" s="1038"/>
      <c r="AC97" s="1038"/>
      <c r="AD97" s="1038"/>
    </row>
    <row r="98" spans="2:30">
      <c r="B98" s="1038"/>
      <c r="C98" s="1038" t="s">
        <v>1747</v>
      </c>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038"/>
      <c r="AB98" s="1038"/>
      <c r="AC98" s="1038"/>
      <c r="AD98" s="1038"/>
    </row>
    <row r="99" spans="2:30">
      <c r="B99" s="1038"/>
      <c r="C99" s="1038" t="s">
        <v>1748</v>
      </c>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038"/>
      <c r="AB99" s="1038"/>
      <c r="AC99" s="1038"/>
      <c r="AD99" s="1038"/>
    </row>
    <row r="100" spans="2:30">
      <c r="B100" s="1038"/>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038"/>
      <c r="AB100" s="1038"/>
      <c r="AC100" s="1038"/>
      <c r="AD100" s="1038"/>
    </row>
    <row r="101" spans="2:30">
      <c r="B101" s="1037" t="s">
        <v>1749</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038"/>
      <c r="AB101" s="1038"/>
      <c r="AC101" s="1038"/>
      <c r="AD101" s="1038"/>
    </row>
    <row r="102" spans="2:30">
      <c r="B102" s="1038"/>
      <c r="C102" s="1038" t="s">
        <v>1750</v>
      </c>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038"/>
      <c r="AB102" s="1038"/>
      <c r="AC102" s="1038"/>
      <c r="AD102" s="1038"/>
    </row>
    <row r="103" spans="2:30">
      <c r="B103" s="1038"/>
      <c r="C103" s="1038" t="s">
        <v>1751</v>
      </c>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038"/>
      <c r="AB103" s="1038"/>
      <c r="AC103" s="1038"/>
      <c r="AD103" s="1038"/>
    </row>
    <row r="104" spans="2:30">
      <c r="B104" s="1038"/>
      <c r="C104" s="1038" t="s">
        <v>1752</v>
      </c>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038"/>
      <c r="AB104" s="1038"/>
      <c r="AC104" s="1038"/>
      <c r="AD104" s="1038"/>
    </row>
    <row r="105" spans="2:30">
      <c r="B105" s="1038"/>
      <c r="C105" s="1038" t="s">
        <v>1753</v>
      </c>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038"/>
      <c r="AB105" s="1038"/>
      <c r="AC105" s="1038"/>
      <c r="AD105" s="1038"/>
    </row>
    <row r="106" spans="2:30">
      <c r="B106" s="1038"/>
      <c r="C106" s="1038" t="s">
        <v>1754</v>
      </c>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038"/>
      <c r="AB106" s="1038"/>
      <c r="AC106" s="1038"/>
      <c r="AD106" s="1038"/>
    </row>
    <row r="107" spans="2:30">
      <c r="B107" s="1038"/>
      <c r="C107" s="1038" t="s">
        <v>1755</v>
      </c>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038"/>
      <c r="AB107" s="1038"/>
      <c r="AC107" s="1038"/>
      <c r="AD107" s="1038"/>
    </row>
    <row r="108" spans="2:30">
      <c r="B108" s="1038"/>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038"/>
      <c r="AB108" s="1038"/>
      <c r="AC108" s="1038"/>
      <c r="AD108" s="1038"/>
    </row>
    <row r="109" spans="2:30">
      <c r="B109" s="1037" t="s">
        <v>89</v>
      </c>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038"/>
      <c r="AB109" s="1038"/>
      <c r="AC109" s="1038"/>
      <c r="AD109" s="1038"/>
    </row>
    <row r="110" spans="2:30">
      <c r="B110" s="1038"/>
      <c r="C110" s="1038" t="s">
        <v>1757</v>
      </c>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038"/>
      <c r="AB110" s="1038"/>
      <c r="AC110" s="1038"/>
      <c r="AD110" s="1038"/>
    </row>
    <row r="111" spans="2:30">
      <c r="B111" s="1038"/>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c r="AC111" s="1038"/>
      <c r="AD111" s="1038"/>
    </row>
    <row r="112" spans="2:30">
      <c r="B112" s="1037" t="s">
        <v>5</v>
      </c>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038"/>
      <c r="AB112" s="1038"/>
      <c r="AC112" s="1038"/>
      <c r="AD112" s="1038"/>
    </row>
    <row r="113" spans="2:30">
      <c r="B113" s="1038"/>
      <c r="C113" s="1038" t="s">
        <v>1758</v>
      </c>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038"/>
      <c r="AB113" s="1038"/>
      <c r="AC113" s="1038"/>
      <c r="AD113" s="1038"/>
    </row>
    <row r="114" spans="2:30">
      <c r="B114" s="1038"/>
      <c r="C114" s="1038" t="s">
        <v>1756</v>
      </c>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038"/>
      <c r="AB114" s="1038"/>
      <c r="AC114" s="1038"/>
      <c r="AD114" s="1038"/>
    </row>
    <row r="115" spans="2:30">
      <c r="B115" s="1038"/>
      <c r="C115" s="1038" t="s">
        <v>1759</v>
      </c>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038"/>
      <c r="AB115" s="1038"/>
      <c r="AC115" s="1038"/>
      <c r="AD115" s="1038"/>
    </row>
    <row r="116" spans="2:30">
      <c r="B116" s="1038"/>
      <c r="C116" s="1038" t="s">
        <v>1760</v>
      </c>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038"/>
      <c r="AB116" s="1038"/>
      <c r="AC116" s="1038"/>
      <c r="AD116" s="1038"/>
    </row>
    <row r="117" spans="2:30">
      <c r="B117" s="1038"/>
      <c r="C117" s="1038"/>
      <c r="D117" s="1038"/>
      <c r="E117" s="1038"/>
      <c r="F117" s="1038"/>
      <c r="G117" s="1038"/>
      <c r="H117" s="1038"/>
      <c r="I117" s="1038"/>
      <c r="J117" s="1038"/>
      <c r="K117" s="1038"/>
      <c r="L117" s="1038"/>
      <c r="M117" s="1038"/>
      <c r="N117" s="1038"/>
      <c r="O117" s="1038"/>
      <c r="P117" s="1038"/>
      <c r="Q117" s="1038"/>
      <c r="R117" s="1038"/>
      <c r="S117" s="1038"/>
      <c r="T117" s="1038"/>
      <c r="U117" s="1038"/>
      <c r="V117" s="1038"/>
      <c r="W117" s="1038"/>
      <c r="X117" s="1038"/>
      <c r="Y117" s="1038"/>
      <c r="Z117" s="1038"/>
      <c r="AA117" s="1038"/>
      <c r="AB117" s="1038"/>
      <c r="AC117" s="1038"/>
      <c r="AD117" s="1038"/>
    </row>
    <row r="118" spans="2:30">
      <c r="B118" s="1037" t="s">
        <v>4</v>
      </c>
      <c r="C118" s="1038"/>
      <c r="D118" s="1038"/>
      <c r="E118" s="1038"/>
      <c r="F118" s="1038"/>
      <c r="G118" s="1038"/>
      <c r="H118" s="1038"/>
      <c r="I118" s="1038"/>
      <c r="J118" s="1038"/>
      <c r="K118" s="1038"/>
      <c r="L118" s="1038"/>
      <c r="M118" s="1038"/>
      <c r="N118" s="1038"/>
      <c r="O118" s="1038"/>
      <c r="P118" s="1038"/>
      <c r="Q118" s="1038"/>
      <c r="R118" s="1038"/>
      <c r="S118" s="1038"/>
      <c r="T118" s="1038"/>
      <c r="U118" s="1038"/>
      <c r="V118" s="1038"/>
      <c r="W118" s="1038"/>
      <c r="X118" s="1038"/>
      <c r="Y118" s="1038"/>
      <c r="Z118" s="1038"/>
      <c r="AA118" s="1038"/>
      <c r="AB118" s="1038"/>
      <c r="AC118" s="1038"/>
      <c r="AD118" s="1038"/>
    </row>
    <row r="119" spans="2:30">
      <c r="B119" s="1038"/>
      <c r="C119" s="1038" t="s">
        <v>1761</v>
      </c>
      <c r="D119" s="1038"/>
      <c r="E119" s="1038"/>
      <c r="F119" s="1038"/>
      <c r="G119" s="1038"/>
      <c r="H119" s="1038"/>
      <c r="I119" s="1038"/>
      <c r="J119" s="1038"/>
      <c r="K119" s="1038"/>
      <c r="L119" s="1038"/>
      <c r="M119" s="1038"/>
      <c r="N119" s="1038"/>
      <c r="O119" s="1038"/>
      <c r="P119" s="1038"/>
      <c r="Q119" s="1038"/>
      <c r="R119" s="1038"/>
      <c r="S119" s="1038"/>
      <c r="T119" s="1038"/>
      <c r="U119" s="1038"/>
      <c r="V119" s="1038"/>
      <c r="W119" s="1038"/>
      <c r="X119" s="1038"/>
      <c r="Y119" s="1038"/>
      <c r="Z119" s="1038"/>
      <c r="AA119" s="1038"/>
      <c r="AB119" s="1038"/>
      <c r="AC119" s="1038"/>
      <c r="AD119" s="1038"/>
    </row>
    <row r="120" spans="2:30">
      <c r="B120" s="1038"/>
      <c r="C120" s="1038" t="s">
        <v>1736</v>
      </c>
      <c r="D120" s="1038"/>
      <c r="E120" s="1038"/>
      <c r="F120" s="1038"/>
      <c r="G120" s="1038"/>
      <c r="H120" s="1038"/>
      <c r="I120" s="1038"/>
      <c r="J120" s="1038"/>
      <c r="K120" s="1038"/>
      <c r="L120" s="1038"/>
      <c r="M120" s="1038"/>
      <c r="N120" s="1038"/>
      <c r="O120" s="1038"/>
      <c r="P120" s="1038"/>
      <c r="Q120" s="1038"/>
      <c r="R120" s="1038"/>
      <c r="S120" s="1038"/>
      <c r="T120" s="1038"/>
      <c r="U120" s="1038"/>
      <c r="V120" s="1038"/>
      <c r="W120" s="1038"/>
      <c r="X120" s="1038"/>
      <c r="Y120" s="1038"/>
      <c r="Z120" s="1038"/>
      <c r="AA120" s="1038"/>
      <c r="AB120" s="1038"/>
      <c r="AC120" s="1038"/>
      <c r="AD120" s="1038"/>
    </row>
    <row r="121" spans="2:30">
      <c r="B121" s="1038"/>
      <c r="C121" s="1038" t="s">
        <v>1762</v>
      </c>
      <c r="D121" s="1038"/>
      <c r="E121" s="1038"/>
      <c r="F121" s="1038"/>
      <c r="G121" s="1038"/>
      <c r="H121" s="1038"/>
      <c r="I121" s="1038"/>
      <c r="J121" s="1038"/>
      <c r="K121" s="1038"/>
      <c r="L121" s="1038"/>
      <c r="M121" s="1038"/>
      <c r="N121" s="1038"/>
      <c r="O121" s="1038"/>
      <c r="P121" s="1038"/>
      <c r="Q121" s="1038"/>
      <c r="R121" s="1038"/>
      <c r="S121" s="1038"/>
      <c r="T121" s="1038"/>
      <c r="U121" s="1038"/>
      <c r="V121" s="1038"/>
      <c r="W121" s="1038"/>
      <c r="X121" s="1038"/>
      <c r="Y121" s="1038"/>
      <c r="Z121" s="1038"/>
      <c r="AA121" s="1038"/>
      <c r="AB121" s="1038"/>
      <c r="AC121" s="1038"/>
      <c r="AD121" s="1038"/>
    </row>
    <row r="122" spans="2:30">
      <c r="B122" s="1038"/>
      <c r="C122" s="1038"/>
      <c r="D122" s="1038"/>
      <c r="E122" s="1038"/>
      <c r="F122" s="1038"/>
      <c r="G122" s="1038"/>
      <c r="H122" s="1038"/>
      <c r="I122" s="1038"/>
      <c r="J122" s="1038"/>
      <c r="K122" s="1038"/>
      <c r="L122" s="1038"/>
      <c r="M122" s="1038"/>
      <c r="N122" s="1038"/>
      <c r="O122" s="1038"/>
      <c r="P122" s="1038"/>
      <c r="Q122" s="1038"/>
      <c r="R122" s="1038"/>
      <c r="S122" s="1038"/>
      <c r="T122" s="1038"/>
      <c r="U122" s="1038"/>
      <c r="V122" s="1038"/>
      <c r="W122" s="1038"/>
      <c r="X122" s="1038"/>
      <c r="Y122" s="1038"/>
      <c r="Z122" s="1038"/>
      <c r="AA122" s="1038"/>
      <c r="AB122" s="1038"/>
      <c r="AC122" s="1038"/>
      <c r="AD122" s="1038"/>
    </row>
    <row r="123" spans="2:30">
      <c r="B123" s="1037" t="s">
        <v>1763</v>
      </c>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c r="W123" s="1038"/>
      <c r="X123" s="1038"/>
      <c r="Y123" s="1038"/>
      <c r="Z123" s="1038"/>
      <c r="AA123" s="1038"/>
      <c r="AB123" s="1038"/>
      <c r="AC123" s="1038"/>
      <c r="AD123" s="1038"/>
    </row>
    <row r="124" spans="2:30">
      <c r="B124" s="1038"/>
      <c r="C124" s="1038" t="s">
        <v>1764</v>
      </c>
      <c r="D124" s="1038"/>
      <c r="E124" s="1038"/>
      <c r="F124" s="1038"/>
      <c r="G124" s="1038"/>
      <c r="H124" s="1038"/>
      <c r="I124" s="1038"/>
      <c r="J124" s="1038"/>
      <c r="K124" s="1038"/>
      <c r="L124" s="1038"/>
      <c r="M124" s="1038"/>
      <c r="N124" s="1038"/>
      <c r="O124" s="1038"/>
      <c r="P124" s="1038"/>
      <c r="Q124" s="1038"/>
      <c r="R124" s="1038"/>
      <c r="S124" s="1038"/>
      <c r="T124" s="1038"/>
      <c r="U124" s="1038"/>
      <c r="V124" s="1038"/>
      <c r="W124" s="1038"/>
      <c r="X124" s="1038"/>
      <c r="Y124" s="1038"/>
      <c r="Z124" s="1038"/>
      <c r="AA124" s="1038"/>
      <c r="AB124" s="1038"/>
      <c r="AC124" s="1038"/>
      <c r="AD124" s="1038"/>
    </row>
    <row r="125" spans="2:30">
      <c r="B125" s="1038"/>
      <c r="C125" s="1038" t="s">
        <v>1765</v>
      </c>
      <c r="D125" s="1038"/>
      <c r="E125" s="1038"/>
      <c r="F125" s="1038"/>
      <c r="G125" s="1038"/>
      <c r="H125" s="1038"/>
      <c r="I125" s="1038"/>
      <c r="J125" s="1038"/>
      <c r="K125" s="1038"/>
      <c r="L125" s="1038"/>
      <c r="M125" s="1038"/>
      <c r="N125" s="1038"/>
      <c r="O125" s="1038"/>
      <c r="P125" s="1038"/>
      <c r="Q125" s="1038"/>
      <c r="R125" s="1038"/>
      <c r="S125" s="1038"/>
      <c r="T125" s="1038"/>
      <c r="U125" s="1038"/>
      <c r="V125" s="1038"/>
      <c r="W125" s="1038"/>
      <c r="X125" s="1038"/>
      <c r="Y125" s="1038"/>
      <c r="Z125" s="1038"/>
      <c r="AA125" s="1038"/>
      <c r="AB125" s="1038"/>
      <c r="AC125" s="1038"/>
      <c r="AD125" s="1038"/>
    </row>
    <row r="126" spans="2:30">
      <c r="B126" s="1038"/>
      <c r="C126" s="1038" t="s">
        <v>1766</v>
      </c>
      <c r="D126" s="1038"/>
      <c r="E126" s="1038"/>
      <c r="F126" s="1038"/>
      <c r="G126" s="1038"/>
      <c r="H126" s="1038"/>
      <c r="I126" s="1038"/>
      <c r="J126" s="1038"/>
      <c r="K126" s="1038"/>
      <c r="L126" s="1038"/>
      <c r="M126" s="1038"/>
      <c r="N126" s="1038"/>
      <c r="O126" s="1038"/>
      <c r="P126" s="1038"/>
      <c r="Q126" s="1038"/>
      <c r="R126" s="1038"/>
      <c r="S126" s="1038"/>
      <c r="T126" s="1038"/>
      <c r="U126" s="1038"/>
      <c r="V126" s="1038"/>
      <c r="W126" s="1038"/>
      <c r="X126" s="1038"/>
      <c r="Y126" s="1038"/>
      <c r="Z126" s="1038"/>
      <c r="AA126" s="1038"/>
      <c r="AB126" s="1038"/>
      <c r="AC126" s="1038"/>
      <c r="AD126" s="1038"/>
    </row>
    <row r="127" spans="2:30">
      <c r="B127" s="1038"/>
      <c r="C127" s="1038" t="s">
        <v>1767</v>
      </c>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8"/>
      <c r="AC127" s="1038"/>
      <c r="AD127" s="1038"/>
    </row>
    <row r="128" spans="2:30">
      <c r="B128" s="1038"/>
      <c r="C128" s="1038" t="s">
        <v>1768</v>
      </c>
      <c r="D128" s="1038"/>
      <c r="E128" s="1038"/>
      <c r="F128" s="1038"/>
      <c r="G128" s="1038"/>
      <c r="H128" s="1038"/>
      <c r="I128" s="1038"/>
      <c r="J128" s="1038"/>
      <c r="K128" s="1038"/>
      <c r="L128" s="1038"/>
      <c r="M128" s="1038"/>
      <c r="N128" s="1038"/>
      <c r="O128" s="1038"/>
      <c r="P128" s="1038"/>
      <c r="Q128" s="1038"/>
      <c r="R128" s="1038"/>
      <c r="S128" s="1038"/>
      <c r="T128" s="1038"/>
      <c r="U128" s="1038"/>
      <c r="V128" s="1038"/>
      <c r="W128" s="1038"/>
      <c r="X128" s="1038"/>
      <c r="Y128" s="1038"/>
      <c r="Z128" s="1038"/>
      <c r="AA128" s="1038"/>
      <c r="AB128" s="1038"/>
      <c r="AC128" s="1038"/>
      <c r="AD128" s="1038"/>
    </row>
    <row r="129" spans="2:30">
      <c r="B129" s="1038"/>
      <c r="C129" s="1038" t="s">
        <v>1769</v>
      </c>
      <c r="D129" s="1038"/>
      <c r="E129" s="1038"/>
      <c r="F129" s="1038"/>
      <c r="G129" s="1038"/>
      <c r="H129" s="1038"/>
      <c r="I129" s="1038"/>
      <c r="J129" s="1038"/>
      <c r="K129" s="1038"/>
      <c r="L129" s="1038"/>
      <c r="M129" s="1038"/>
      <c r="N129" s="1038"/>
      <c r="O129" s="1038"/>
      <c r="P129" s="1038"/>
      <c r="Q129" s="1038"/>
      <c r="R129" s="1038"/>
      <c r="S129" s="1038"/>
      <c r="T129" s="1038"/>
      <c r="U129" s="1038"/>
      <c r="V129" s="1038"/>
      <c r="W129" s="1038"/>
      <c r="X129" s="1038"/>
      <c r="Y129" s="1038"/>
      <c r="Z129" s="1038"/>
      <c r="AA129" s="1038"/>
      <c r="AB129" s="1038"/>
      <c r="AC129" s="1038"/>
      <c r="AD129" s="1038"/>
    </row>
    <row r="130" spans="2:30">
      <c r="B130" s="1038"/>
      <c r="C130" s="1038" t="s">
        <v>1770</v>
      </c>
      <c r="D130" s="1038"/>
      <c r="E130" s="1038"/>
      <c r="F130" s="1038"/>
      <c r="G130" s="1038"/>
      <c r="H130" s="1038"/>
      <c r="I130" s="1038"/>
      <c r="J130" s="1038"/>
      <c r="K130" s="1038"/>
      <c r="L130" s="1038"/>
      <c r="M130" s="1038"/>
      <c r="N130" s="1038"/>
      <c r="O130" s="1038"/>
      <c r="P130" s="1038"/>
      <c r="Q130" s="1038"/>
      <c r="R130" s="1038"/>
      <c r="S130" s="1038"/>
      <c r="T130" s="1038"/>
      <c r="U130" s="1038"/>
      <c r="V130" s="1038"/>
      <c r="W130" s="1038"/>
      <c r="X130" s="1038"/>
      <c r="Y130" s="1038"/>
      <c r="Z130" s="1038"/>
      <c r="AA130" s="1038"/>
      <c r="AB130" s="1038"/>
      <c r="AC130" s="1038"/>
      <c r="AD130" s="1038"/>
    </row>
    <row r="131" spans="2:30">
      <c r="B131" s="1038"/>
      <c r="C131" s="1038" t="s">
        <v>1771</v>
      </c>
      <c r="D131" s="1038"/>
      <c r="E131" s="1038"/>
      <c r="F131" s="1038"/>
      <c r="G131" s="1038"/>
      <c r="H131" s="1038"/>
      <c r="I131" s="1038"/>
      <c r="J131" s="1038"/>
      <c r="K131" s="1038"/>
      <c r="L131" s="1038"/>
      <c r="M131" s="1038"/>
      <c r="N131" s="1038"/>
      <c r="O131" s="1038"/>
      <c r="P131" s="1038"/>
      <c r="Q131" s="1038"/>
      <c r="R131" s="1038"/>
      <c r="S131" s="1038"/>
      <c r="T131" s="1038"/>
      <c r="U131" s="1038"/>
      <c r="V131" s="1038"/>
      <c r="W131" s="1038"/>
      <c r="X131" s="1038"/>
      <c r="Y131" s="1038"/>
      <c r="Z131" s="1038"/>
      <c r="AA131" s="1038"/>
      <c r="AB131" s="1038"/>
      <c r="AC131" s="1038"/>
      <c r="AD131" s="1038"/>
    </row>
    <row r="132" spans="2:30">
      <c r="B132" s="1038"/>
      <c r="C132" s="1038" t="s">
        <v>1736</v>
      </c>
      <c r="D132" s="1038"/>
      <c r="E132" s="1038"/>
      <c r="F132" s="1038"/>
      <c r="G132" s="1038"/>
      <c r="H132" s="1038"/>
      <c r="I132" s="1038"/>
      <c r="J132" s="1038"/>
      <c r="K132" s="1038"/>
      <c r="L132" s="1038"/>
      <c r="M132" s="1038"/>
      <c r="N132" s="1038"/>
      <c r="O132" s="1038"/>
      <c r="P132" s="1038"/>
      <c r="Q132" s="1038"/>
      <c r="R132" s="1038"/>
      <c r="S132" s="1038"/>
      <c r="T132" s="1038"/>
      <c r="U132" s="1038"/>
      <c r="V132" s="1038"/>
      <c r="W132" s="1038"/>
      <c r="X132" s="1038"/>
      <c r="Y132" s="1038"/>
      <c r="Z132" s="1038"/>
      <c r="AA132" s="1038"/>
      <c r="AB132" s="1038"/>
      <c r="AC132" s="1038"/>
      <c r="AD132" s="1038"/>
    </row>
    <row r="133" spans="2:30">
      <c r="B133" s="1038"/>
      <c r="C133" s="1038" t="s">
        <v>1772</v>
      </c>
      <c r="D133" s="1038"/>
      <c r="E133" s="1038"/>
      <c r="F133" s="1038"/>
      <c r="G133" s="1038"/>
      <c r="H133" s="1038"/>
      <c r="I133" s="1038"/>
      <c r="J133" s="1038"/>
      <c r="K133" s="1038"/>
      <c r="L133" s="1038"/>
      <c r="M133" s="1038"/>
      <c r="N133" s="1038"/>
      <c r="O133" s="1038"/>
      <c r="P133" s="1038"/>
      <c r="Q133" s="1038"/>
      <c r="R133" s="1038"/>
      <c r="S133" s="1038"/>
      <c r="T133" s="1038"/>
      <c r="U133" s="1038"/>
      <c r="V133" s="1038"/>
      <c r="W133" s="1038"/>
      <c r="X133" s="1038"/>
      <c r="Y133" s="1038"/>
      <c r="Z133" s="1038"/>
      <c r="AA133" s="1038"/>
      <c r="AB133" s="1038"/>
      <c r="AC133" s="1038"/>
      <c r="AD133" s="1038"/>
    </row>
    <row r="134" spans="2:30">
      <c r="B134" s="1038"/>
      <c r="C134" s="1038" t="s">
        <v>1773</v>
      </c>
      <c r="D134" s="1038"/>
      <c r="E134" s="1038"/>
      <c r="F134" s="1038"/>
      <c r="G134" s="1038"/>
      <c r="H134" s="1038"/>
      <c r="I134" s="1038"/>
      <c r="J134" s="1038"/>
      <c r="K134" s="1038"/>
      <c r="L134" s="1038"/>
      <c r="M134" s="1038"/>
      <c r="N134" s="1038"/>
      <c r="O134" s="1038"/>
      <c r="P134" s="1038"/>
      <c r="Q134" s="1038"/>
      <c r="R134" s="1038"/>
      <c r="S134" s="1038"/>
      <c r="T134" s="1038"/>
      <c r="U134" s="1038"/>
      <c r="V134" s="1038"/>
      <c r="W134" s="1038"/>
      <c r="X134" s="1038"/>
      <c r="Y134" s="1038"/>
      <c r="Z134" s="1038"/>
      <c r="AA134" s="1038"/>
      <c r="AB134" s="1038"/>
      <c r="AC134" s="1038"/>
      <c r="AD134" s="1038"/>
    </row>
  </sheetData>
  <sheetProtection algorithmName="SHA-512" hashValue="26svnKZve6mBActZWh6SHQoww5hd+rSYY0NOG/ImrJWcKwZ4blKEFEGBnbL71mmNbGK0It+jStFhGUaL/tCEEQ==" saltValue="2lqAXaG7ShmbZcx0leyWbg==" spinCount="100000" sheet="1" objects="1" scenarios="1"/>
  <mergeCells count="1">
    <mergeCell ref="E1:T4"/>
  </mergeCells>
  <hyperlinks>
    <hyperlink ref="C56" r:id="rId1" display="vegetables: ENERGY, EMISSIONS, ECOLOGY AND AGRICULTURAL SYSTEM INTEGRATION (EASI) tool (Smith et al 2010) (http://www.organicresearchcentre.com/manage/authincludes/article_uploads/Research/Resources/Brief summary of EASI.pdf)" xr:uid="{C43CAC37-44CF-4634-BB01-02D8F6252B94}"/>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8:M99"/>
  <sheetViews>
    <sheetView showGridLines="0" zoomScaleNormal="100" workbookViewId="0">
      <selection activeCell="B12" sqref="B12"/>
    </sheetView>
  </sheetViews>
  <sheetFormatPr defaultRowHeight="15"/>
  <cols>
    <col min="1" max="1" width="64.85546875" style="54" customWidth="1"/>
    <col min="2" max="2" width="28" style="315" customWidth="1"/>
    <col min="3" max="3" width="3.140625" customWidth="1"/>
    <col min="4" max="4" width="11.28515625" customWidth="1"/>
    <col min="5" max="5" width="15" customWidth="1"/>
    <col min="6" max="6" width="9.7109375" bestFit="1" customWidth="1"/>
    <col min="7" max="7" width="9"/>
    <col min="8" max="8" width="26.42578125" bestFit="1" customWidth="1"/>
    <col min="9" max="9" width="23.42578125" customWidth="1"/>
    <col min="12" max="12" width="8" customWidth="1"/>
    <col min="13" max="13" width="11.140625" customWidth="1"/>
  </cols>
  <sheetData>
    <row r="8" spans="1:13" ht="15.75" thickBot="1"/>
    <row r="9" spans="1:13" s="571" customFormat="1" ht="19.5" customHeight="1" thickBot="1">
      <c r="A9" s="717" t="s">
        <v>89</v>
      </c>
      <c r="B9" s="502" t="s">
        <v>1666</v>
      </c>
      <c r="C9" s="690"/>
      <c r="D9" s="690"/>
      <c r="E9" s="690"/>
      <c r="F9" s="925" t="s">
        <v>0</v>
      </c>
      <c r="G9" s="377"/>
      <c r="H9" s="688" t="s">
        <v>89</v>
      </c>
      <c r="I9" s="681"/>
      <c r="J9" s="681"/>
      <c r="K9" s="681"/>
      <c r="L9" s="681"/>
      <c r="M9" s="689"/>
    </row>
    <row r="10" spans="1:13">
      <c r="A10" s="722"/>
      <c r="B10" s="511"/>
      <c r="C10" s="650"/>
      <c r="D10" s="650"/>
      <c r="E10" s="650"/>
      <c r="F10" s="966"/>
      <c r="G10" s="25"/>
      <c r="H10" s="970" t="s">
        <v>220</v>
      </c>
      <c r="I10" s="971" t="s">
        <v>221</v>
      </c>
      <c r="J10" s="971"/>
      <c r="K10" s="971"/>
      <c r="L10" s="971"/>
      <c r="M10" s="973" t="s">
        <v>0</v>
      </c>
    </row>
    <row r="11" spans="1:13" ht="26.25" customHeight="1">
      <c r="A11" s="375" t="s">
        <v>183</v>
      </c>
      <c r="B11" s="44"/>
      <c r="C11" s="27"/>
      <c r="D11" s="27"/>
      <c r="E11" s="29"/>
      <c r="F11" s="938"/>
      <c r="G11" s="25"/>
      <c r="H11" s="964" t="s">
        <v>224</v>
      </c>
      <c r="I11" s="1053" t="s">
        <v>1811</v>
      </c>
      <c r="J11" s="1053"/>
      <c r="K11" s="1053"/>
      <c r="L11" s="1053"/>
      <c r="M11" s="951" t="str">
        <f>F22</f>
        <v>N/A</v>
      </c>
    </row>
    <row r="12" spans="1:13" ht="63" customHeight="1">
      <c r="A12" s="682" t="s">
        <v>175</v>
      </c>
      <c r="B12" s="678" t="s">
        <v>72</v>
      </c>
      <c r="C12" s="27"/>
      <c r="D12" s="27"/>
      <c r="E12" s="29"/>
      <c r="F12" s="938" t="str">
        <f>IF(B12=C55,1,IF(B12=C56,2,IF(B12=C57,3,IF(B12=C58,4,IF(B12=C59,5,"N/A")))))</f>
        <v>N/A</v>
      </c>
      <c r="G12" s="25"/>
      <c r="H12" s="964" t="s">
        <v>180</v>
      </c>
      <c r="I12" s="1053" t="s">
        <v>1812</v>
      </c>
      <c r="J12" s="1053"/>
      <c r="K12" s="1053"/>
      <c r="L12" s="1053"/>
      <c r="M12" s="963" t="str">
        <f>F35</f>
        <v>N/A</v>
      </c>
    </row>
    <row r="13" spans="1:13" ht="26.25" customHeight="1">
      <c r="A13" s="582"/>
      <c r="B13" s="307"/>
      <c r="C13" s="27"/>
      <c r="D13" s="27"/>
      <c r="E13" s="29"/>
      <c r="F13" s="938"/>
      <c r="G13" s="25"/>
      <c r="H13" s="964" t="s">
        <v>1715</v>
      </c>
      <c r="I13" s="1053" t="s">
        <v>1813</v>
      </c>
      <c r="J13" s="1053"/>
      <c r="K13" s="1053"/>
      <c r="L13" s="1053"/>
      <c r="M13" s="963" t="str">
        <f>F37</f>
        <v>N/A</v>
      </c>
    </row>
    <row r="14" spans="1:13" ht="26.25">
      <c r="A14" s="582" t="s">
        <v>1260</v>
      </c>
      <c r="B14" s="44" t="s">
        <v>1191</v>
      </c>
      <c r="C14" s="27"/>
      <c r="D14" s="27"/>
      <c r="E14" s="29"/>
      <c r="F14" s="938"/>
      <c r="G14" s="25"/>
      <c r="H14" s="964" t="s">
        <v>225</v>
      </c>
      <c r="I14" s="1053" t="s">
        <v>1814</v>
      </c>
      <c r="J14" s="1053"/>
      <c r="K14" s="1053"/>
      <c r="L14" s="1053"/>
      <c r="M14" s="951">
        <f>F41</f>
        <v>1</v>
      </c>
    </row>
    <row r="15" spans="1:13" ht="15.75" thickBot="1">
      <c r="A15" s="683" t="s">
        <v>153</v>
      </c>
      <c r="B15" s="313">
        <v>0</v>
      </c>
      <c r="C15" s="27"/>
      <c r="D15" s="27"/>
      <c r="E15" s="29"/>
      <c r="F15" s="938"/>
      <c r="G15" s="25"/>
      <c r="H15" s="965" t="s">
        <v>227</v>
      </c>
      <c r="I15" s="1055" t="s">
        <v>1815</v>
      </c>
      <c r="J15" s="1055"/>
      <c r="K15" s="1055"/>
      <c r="L15" s="1055"/>
      <c r="M15" s="960">
        <f>F44</f>
        <v>1</v>
      </c>
    </row>
    <row r="16" spans="1:13" ht="15.75" thickBot="1">
      <c r="A16" s="683" t="s">
        <v>169</v>
      </c>
      <c r="B16" s="313">
        <v>0</v>
      </c>
      <c r="C16" s="27"/>
      <c r="D16" s="27"/>
      <c r="E16" s="29"/>
      <c r="F16" s="938"/>
      <c r="G16" s="25"/>
      <c r="K16" s="691"/>
      <c r="L16" s="692" t="s">
        <v>1673</v>
      </c>
      <c r="M16" s="693">
        <f>F45</f>
        <v>1</v>
      </c>
    </row>
    <row r="17" spans="1:7">
      <c r="A17" s="683" t="s">
        <v>165</v>
      </c>
      <c r="B17" s="313">
        <v>0</v>
      </c>
      <c r="C17" s="27"/>
      <c r="D17" s="27"/>
      <c r="E17" s="29"/>
      <c r="F17" s="938"/>
      <c r="G17" s="25"/>
    </row>
    <row r="18" spans="1:7">
      <c r="A18" s="683" t="s">
        <v>154</v>
      </c>
      <c r="B18" s="313">
        <v>0</v>
      </c>
      <c r="C18" s="27"/>
      <c r="D18" s="27"/>
      <c r="E18" s="29"/>
      <c r="F18" s="938"/>
      <c r="G18" s="25"/>
    </row>
    <row r="19" spans="1:7">
      <c r="A19" s="683" t="s">
        <v>166</v>
      </c>
      <c r="B19" s="313">
        <v>0</v>
      </c>
      <c r="C19" s="27"/>
      <c r="D19" s="27"/>
      <c r="E19" s="29"/>
      <c r="F19" s="938"/>
      <c r="G19" s="25"/>
    </row>
    <row r="20" spans="1:7">
      <c r="A20" s="683" t="s">
        <v>1164</v>
      </c>
      <c r="B20" s="313">
        <v>0</v>
      </c>
      <c r="C20" s="27"/>
      <c r="D20" s="27"/>
      <c r="E20" s="29"/>
      <c r="F20" s="938"/>
      <c r="G20" s="25"/>
    </row>
    <row r="21" spans="1:7">
      <c r="A21" s="583" t="s">
        <v>1190</v>
      </c>
      <c r="B21" s="44">
        <f>SUM(B15:B20)</f>
        <v>0</v>
      </c>
      <c r="C21" s="27"/>
      <c r="D21" s="27"/>
      <c r="E21" s="29"/>
      <c r="F21" s="938" t="str">
        <f>IF(B21=0,"N/A",IF(AND(B21&gt;=1,B21&lt;=3),1,IF(AND(B21&gt;=4,B21&lt;=6),2,IF(AND(B21&gt;=7,B21&lt;=9),3,IF(AND(B21&gt;=10,B21&lt;=12),4,IF(AND(B21&gt;=13,B21&lt;=1000),5))))))</f>
        <v>N/A</v>
      </c>
      <c r="G21" s="25"/>
    </row>
    <row r="22" spans="1:7">
      <c r="A22" s="723"/>
      <c r="B22" s="711"/>
      <c r="C22" s="40"/>
      <c r="D22" s="40"/>
      <c r="E22" s="718"/>
      <c r="F22" s="967" t="str">
        <f>IF(B12="N/A","N/A",ROUND(AVERAGE(F12:F21),0))</f>
        <v>N/A</v>
      </c>
      <c r="G22" s="25"/>
    </row>
    <row r="23" spans="1:7">
      <c r="A23" s="724"/>
      <c r="B23" s="680"/>
      <c r="C23" s="250"/>
      <c r="D23" s="250"/>
      <c r="E23" s="390"/>
      <c r="F23" s="968"/>
      <c r="G23" s="25"/>
    </row>
    <row r="24" spans="1:7">
      <c r="A24" s="375" t="s">
        <v>180</v>
      </c>
      <c r="B24" s="44"/>
      <c r="C24" s="27"/>
      <c r="D24" s="27"/>
      <c r="E24" s="29"/>
      <c r="F24" s="938"/>
      <c r="G24" s="25"/>
    </row>
    <row r="25" spans="1:7" ht="26.25">
      <c r="A25" s="582" t="s">
        <v>181</v>
      </c>
      <c r="B25" s="442" t="s">
        <v>72</v>
      </c>
      <c r="C25" s="27"/>
      <c r="D25" s="27"/>
      <c r="E25" s="29"/>
      <c r="F25" s="938" t="str">
        <f>IF(B25=C70,1,IF(B25=C71,2,IF(B25=C72,3,IF(B25=C73,4,IF(B25=C74,5,"N/A")))))</f>
        <v>N/A</v>
      </c>
      <c r="G25" s="25"/>
    </row>
    <row r="26" spans="1:7">
      <c r="A26" s="375"/>
      <c r="B26" s="44"/>
      <c r="C26" s="27"/>
      <c r="D26" s="27"/>
      <c r="E26" s="27"/>
      <c r="F26" s="938"/>
      <c r="G26" s="25"/>
    </row>
    <row r="27" spans="1:7" ht="26.25">
      <c r="A27" s="582" t="s">
        <v>601</v>
      </c>
      <c r="B27" s="44" t="s">
        <v>1698</v>
      </c>
      <c r="C27" s="27"/>
      <c r="D27" s="27"/>
      <c r="E27" s="27"/>
      <c r="F27" s="938"/>
      <c r="G27" s="25"/>
    </row>
    <row r="28" spans="1:7">
      <c r="A28" s="683" t="s">
        <v>190</v>
      </c>
      <c r="B28" s="313">
        <v>0</v>
      </c>
      <c r="C28" s="27"/>
      <c r="D28" s="27"/>
      <c r="E28" s="27"/>
      <c r="F28" s="938"/>
      <c r="G28" s="25"/>
    </row>
    <row r="29" spans="1:7">
      <c r="A29" s="683" t="s">
        <v>191</v>
      </c>
      <c r="B29" s="313">
        <v>0</v>
      </c>
      <c r="C29" s="27"/>
      <c r="D29" s="27"/>
      <c r="E29" s="27"/>
      <c r="F29" s="938"/>
      <c r="G29" s="25"/>
    </row>
    <row r="30" spans="1:7">
      <c r="A30" s="683" t="s">
        <v>27</v>
      </c>
      <c r="B30" s="313">
        <v>0</v>
      </c>
      <c r="C30" s="27"/>
      <c r="D30" s="27"/>
      <c r="E30" s="27"/>
      <c r="F30" s="938"/>
      <c r="G30" s="25"/>
    </row>
    <row r="31" spans="1:7">
      <c r="A31" s="683" t="s">
        <v>147</v>
      </c>
      <c r="B31" s="313">
        <v>0</v>
      </c>
      <c r="C31" s="27"/>
      <c r="D31" s="27"/>
      <c r="E31" s="27"/>
      <c r="F31" s="938"/>
      <c r="G31" s="25"/>
    </row>
    <row r="32" spans="1:7">
      <c r="A32" s="683" t="s">
        <v>140</v>
      </c>
      <c r="B32" s="313">
        <v>0</v>
      </c>
      <c r="C32" s="27"/>
      <c r="D32" s="27"/>
      <c r="E32" s="27"/>
      <c r="F32" s="938"/>
      <c r="G32" s="25"/>
    </row>
    <row r="33" spans="1:7">
      <c r="A33" s="683" t="s">
        <v>192</v>
      </c>
      <c r="B33" s="313">
        <v>0</v>
      </c>
      <c r="C33" s="27"/>
      <c r="D33" s="27"/>
      <c r="E33" s="27"/>
      <c r="F33" s="938"/>
      <c r="G33" s="25"/>
    </row>
    <row r="34" spans="1:7">
      <c r="A34" s="583" t="s">
        <v>193</v>
      </c>
      <c r="B34" s="44">
        <f>SUM(B28:B33)</f>
        <v>0</v>
      </c>
      <c r="C34" s="27"/>
      <c r="D34" s="27"/>
      <c r="E34" s="27"/>
      <c r="F34" s="938" t="str">
        <f>IF(B34=0,"N/A",IF(B34=1,1,IF(B34=2,2,IF(B34=3,3,IF(B34=4,4,IF(B34&gt;=5,5))))))</f>
        <v>N/A</v>
      </c>
      <c r="G34" s="25"/>
    </row>
    <row r="35" spans="1:7">
      <c r="A35" s="725"/>
      <c r="B35" s="711"/>
      <c r="C35" s="40"/>
      <c r="D35" s="40"/>
      <c r="E35" s="40"/>
      <c r="F35" s="949" t="str">
        <f>IF(B25="N/A","N/A",ROUND(AVERAGE(F25:F34),0))</f>
        <v>N/A</v>
      </c>
      <c r="G35" s="25"/>
    </row>
    <row r="36" spans="1:7" ht="39">
      <c r="A36" s="726"/>
      <c r="B36" s="680"/>
      <c r="C36" s="250"/>
      <c r="D36" s="680" t="s">
        <v>1713</v>
      </c>
      <c r="E36" s="680" t="s">
        <v>1714</v>
      </c>
      <c r="F36" s="969"/>
      <c r="G36" s="25"/>
    </row>
    <row r="37" spans="1:7" ht="21" customHeight="1">
      <c r="A37" s="684" t="s">
        <v>1479</v>
      </c>
      <c r="B37" s="679" t="str">
        <f>IFERROR(E37/D37,"N/A")</f>
        <v>N/A</v>
      </c>
      <c r="C37" s="29"/>
      <c r="D37" s="307">
        <f>(SUM('Initial data collection sheet'!B35:B50,'Initial data collection sheet'!B52:B66,'Initial data collection sheet'!B69:B75,'Initial data collection sheet'!B78:B82,'Initial data collection sheet'!B85:B86,'Initial data collection sheet'!B89:B91,'Initial data collection sheet'!B94:B99,'Initial data collection sheet'!B101:B110,'Initial data collection sheet'!B153))</f>
        <v>0</v>
      </c>
      <c r="E37" s="307">
        <f>'Initial data collection sheet'!B153</f>
        <v>0</v>
      </c>
      <c r="F37" s="974" t="str">
        <f>IF(B37="N/A","N/A",IF(B37&gt;0.0249,5,IF(B37&gt;0.02,4,IF(B37&gt;0.0015,3,IF(B37&gt;0.001,2,1)))))</f>
        <v>N/A</v>
      </c>
      <c r="G37" s="25"/>
    </row>
    <row r="38" spans="1:7">
      <c r="A38" s="375"/>
      <c r="B38" s="44"/>
      <c r="C38" s="27"/>
      <c r="D38" s="27"/>
      <c r="E38" s="27"/>
      <c r="F38" s="936"/>
      <c r="G38" s="25"/>
    </row>
    <row r="39" spans="1:7">
      <c r="A39" s="726"/>
      <c r="B39" s="680"/>
      <c r="C39" s="250"/>
      <c r="D39" s="250"/>
      <c r="E39" s="250"/>
      <c r="F39" s="969"/>
      <c r="G39" s="25"/>
    </row>
    <row r="40" spans="1:7">
      <c r="A40" s="375" t="s">
        <v>194</v>
      </c>
      <c r="B40" s="44"/>
      <c r="C40" s="27"/>
      <c r="D40" s="27"/>
      <c r="E40" s="27"/>
      <c r="F40" s="938"/>
      <c r="G40" s="25"/>
    </row>
    <row r="41" spans="1:7">
      <c r="A41" s="723" t="s">
        <v>195</v>
      </c>
      <c r="B41" s="721">
        <v>1</v>
      </c>
      <c r="C41" s="40"/>
      <c r="D41" s="40"/>
      <c r="E41" s="40"/>
      <c r="F41" s="950">
        <f>IF(B41=C84,1,IF(B41=C85,2,IF(B41=C86,3,IF(B41=C87,4,IF(B41=C88,5,"N/A")))))</f>
        <v>1</v>
      </c>
      <c r="G41" s="25"/>
    </row>
    <row r="42" spans="1:7">
      <c r="A42" s="375"/>
      <c r="B42" s="44"/>
      <c r="C42" s="27"/>
      <c r="D42" s="27"/>
      <c r="E42" s="27"/>
      <c r="F42" s="938"/>
      <c r="G42" s="25"/>
    </row>
    <row r="43" spans="1:7">
      <c r="A43" s="375" t="s">
        <v>227</v>
      </c>
      <c r="B43" s="307"/>
      <c r="C43" s="27"/>
      <c r="D43" s="27"/>
      <c r="E43" s="27"/>
      <c r="F43" s="938"/>
      <c r="G43" s="25"/>
    </row>
    <row r="44" spans="1:7" ht="15.75" thickBot="1">
      <c r="A44" s="584" t="s">
        <v>364</v>
      </c>
      <c r="B44" s="490" t="s">
        <v>37</v>
      </c>
      <c r="C44" s="685"/>
      <c r="D44" s="685"/>
      <c r="E44" s="685"/>
      <c r="F44" s="975">
        <f>IF(B44="No",1,IF(B44="Yes",5,"N/A"))</f>
        <v>1</v>
      </c>
      <c r="G44" s="25"/>
    </row>
    <row r="45" spans="1:7" ht="15.75" thickBot="1">
      <c r="E45" s="719" t="s">
        <v>1673</v>
      </c>
      <c r="F45" s="720">
        <f>AVERAGE(F44,F41,F35,F37,F22)</f>
        <v>1</v>
      </c>
      <c r="G45" s="25"/>
    </row>
    <row r="46" spans="1:7" hidden="1"/>
    <row r="47" spans="1:7" hidden="1"/>
    <row r="48" spans="1:7" hidden="1"/>
    <row r="49" spans="1:6" hidden="1">
      <c r="A49" s="55" t="s">
        <v>232</v>
      </c>
      <c r="B49" s="299"/>
      <c r="C49" s="4"/>
      <c r="D49" s="4"/>
      <c r="E49" s="4"/>
      <c r="F49" s="4"/>
    </row>
    <row r="50" spans="1:6" hidden="1">
      <c r="A50" s="55" t="s">
        <v>233</v>
      </c>
      <c r="B50" s="299" t="s">
        <v>182</v>
      </c>
      <c r="C50" s="18"/>
      <c r="D50" s="18"/>
      <c r="E50" s="18"/>
      <c r="F50" s="18" t="s">
        <v>1194</v>
      </c>
    </row>
    <row r="51" spans="1:6" hidden="1">
      <c r="A51" s="37"/>
      <c r="B51" s="680"/>
      <c r="C51" s="1"/>
      <c r="D51" s="1"/>
      <c r="E51" s="1"/>
      <c r="F51" s="1"/>
    </row>
    <row r="52" spans="1:6" hidden="1">
      <c r="A52" s="38"/>
      <c r="B52" s="44"/>
      <c r="C52" s="1"/>
      <c r="D52" s="1"/>
      <c r="E52" s="1"/>
      <c r="F52" s="1"/>
    </row>
    <row r="53" spans="1:6" hidden="1">
      <c r="A53" s="27" t="s">
        <v>183</v>
      </c>
      <c r="B53" s="44"/>
      <c r="C53" s="1"/>
      <c r="D53" s="1"/>
      <c r="E53" s="1"/>
      <c r="F53" s="1"/>
    </row>
    <row r="54" spans="1:6" ht="26.25" hidden="1">
      <c r="A54" s="29" t="s">
        <v>175</v>
      </c>
      <c r="B54" s="307"/>
      <c r="C54" s="1" t="s">
        <v>72</v>
      </c>
      <c r="D54" s="1"/>
      <c r="E54" s="1"/>
      <c r="F54" s="1"/>
    </row>
    <row r="55" spans="1:6" ht="25.9" hidden="1" customHeight="1">
      <c r="A55" s="29"/>
      <c r="B55" s="307"/>
      <c r="C55" s="1057" t="s">
        <v>176</v>
      </c>
      <c r="D55" s="1057"/>
      <c r="E55" s="1">
        <v>1</v>
      </c>
      <c r="F55" s="1"/>
    </row>
    <row r="56" spans="1:6" hidden="1">
      <c r="A56" s="29"/>
      <c r="B56" s="307"/>
      <c r="C56" s="1057" t="s">
        <v>177</v>
      </c>
      <c r="D56" s="1057"/>
      <c r="E56" s="1">
        <v>2</v>
      </c>
      <c r="F56" s="1"/>
    </row>
    <row r="57" spans="1:6" ht="29.45" hidden="1" customHeight="1">
      <c r="A57" s="29"/>
      <c r="B57" s="307"/>
      <c r="C57" s="1057" t="s">
        <v>178</v>
      </c>
      <c r="D57" s="1057"/>
      <c r="E57" s="1">
        <v>3</v>
      </c>
      <c r="F57" s="1"/>
    </row>
    <row r="58" spans="1:6" ht="45" hidden="1" customHeight="1">
      <c r="A58" s="29"/>
      <c r="B58" s="307"/>
      <c r="C58" s="1057" t="s">
        <v>179</v>
      </c>
      <c r="D58" s="1057"/>
      <c r="E58" s="1">
        <v>4</v>
      </c>
      <c r="F58" s="1"/>
    </row>
    <row r="59" spans="1:6" ht="41.45" hidden="1" customHeight="1">
      <c r="A59" s="29"/>
      <c r="B59" s="307"/>
      <c r="C59" s="1057" t="s">
        <v>1163</v>
      </c>
      <c r="D59" s="1057"/>
      <c r="E59" s="1">
        <v>5</v>
      </c>
      <c r="F59" s="1"/>
    </row>
    <row r="60" spans="1:6" hidden="1">
      <c r="A60" s="29"/>
      <c r="B60" s="307"/>
      <c r="C60" s="1"/>
      <c r="D60" s="1"/>
      <c r="E60" s="1"/>
      <c r="F60" s="1"/>
    </row>
    <row r="61" spans="1:6" hidden="1">
      <c r="A61" s="29"/>
      <c r="B61" s="307"/>
      <c r="C61" s="1"/>
      <c r="D61" s="1"/>
      <c r="E61" s="1"/>
      <c r="F61" s="1"/>
    </row>
    <row r="62" spans="1:6" ht="26.25" hidden="1">
      <c r="A62" s="27" t="s">
        <v>1261</v>
      </c>
      <c r="B62" s="44"/>
      <c r="C62" s="1" t="s">
        <v>238</v>
      </c>
      <c r="D62" s="1"/>
      <c r="E62" s="1">
        <v>1</v>
      </c>
      <c r="F62" s="1052" t="s">
        <v>1284</v>
      </c>
    </row>
    <row r="63" spans="1:6" hidden="1">
      <c r="A63" s="30"/>
      <c r="B63" s="44"/>
      <c r="C63" s="1" t="s">
        <v>239</v>
      </c>
      <c r="D63" s="1"/>
      <c r="E63" s="1">
        <v>2</v>
      </c>
      <c r="F63" s="1052"/>
    </row>
    <row r="64" spans="1:6" hidden="1">
      <c r="A64" s="29"/>
      <c r="B64" s="44"/>
      <c r="C64" s="1" t="s">
        <v>240</v>
      </c>
      <c r="D64" s="1"/>
      <c r="E64" s="1">
        <v>3</v>
      </c>
      <c r="F64" s="1052"/>
    </row>
    <row r="65" spans="1:6" hidden="1">
      <c r="A65" s="29"/>
      <c r="B65" s="44"/>
      <c r="C65" s="1" t="s">
        <v>241</v>
      </c>
      <c r="D65" s="1"/>
      <c r="E65" s="1">
        <v>4</v>
      </c>
      <c r="F65" s="1"/>
    </row>
    <row r="66" spans="1:6" hidden="1">
      <c r="A66" s="29"/>
      <c r="B66" s="44"/>
      <c r="C66" s="1" t="s">
        <v>242</v>
      </c>
      <c r="D66" s="1"/>
      <c r="E66" s="1">
        <v>5</v>
      </c>
      <c r="F66" s="1"/>
    </row>
    <row r="67" spans="1:6" hidden="1">
      <c r="A67" s="29"/>
      <c r="B67" s="307"/>
      <c r="C67" s="1"/>
      <c r="D67" s="1"/>
      <c r="E67" s="1"/>
      <c r="F67" s="1"/>
    </row>
    <row r="68" spans="1:6" hidden="1">
      <c r="A68" s="27" t="s">
        <v>180</v>
      </c>
      <c r="B68" s="44"/>
      <c r="C68" s="1"/>
      <c r="D68" s="1"/>
      <c r="E68" s="1"/>
      <c r="F68" s="1"/>
    </row>
    <row r="69" spans="1:6" ht="26.25" hidden="1">
      <c r="A69" s="29" t="s">
        <v>181</v>
      </c>
      <c r="B69" s="307"/>
      <c r="C69" s="1" t="s">
        <v>72</v>
      </c>
      <c r="D69" s="1"/>
      <c r="E69" s="1"/>
      <c r="F69" s="1"/>
    </row>
    <row r="70" spans="1:6" hidden="1">
      <c r="A70" s="29"/>
      <c r="B70" s="307"/>
      <c r="C70" s="1" t="s">
        <v>185</v>
      </c>
      <c r="D70" s="1"/>
      <c r="E70" s="1">
        <v>1</v>
      </c>
      <c r="F70" s="1"/>
    </row>
    <row r="71" spans="1:6" hidden="1">
      <c r="A71" s="29"/>
      <c r="B71" s="307"/>
      <c r="C71" s="1" t="s">
        <v>186</v>
      </c>
      <c r="D71" s="1"/>
      <c r="E71" s="1">
        <v>2</v>
      </c>
      <c r="F71" s="1"/>
    </row>
    <row r="72" spans="1:6" hidden="1">
      <c r="A72" s="29"/>
      <c r="B72" s="307"/>
      <c r="C72" s="1" t="s">
        <v>187</v>
      </c>
      <c r="D72" s="1"/>
      <c r="E72" s="1">
        <v>3</v>
      </c>
      <c r="F72" s="1"/>
    </row>
    <row r="73" spans="1:6" hidden="1">
      <c r="A73" s="29"/>
      <c r="B73" s="307"/>
      <c r="C73" s="1" t="s">
        <v>188</v>
      </c>
      <c r="D73" s="1"/>
      <c r="E73" s="1">
        <v>4</v>
      </c>
      <c r="F73" s="1"/>
    </row>
    <row r="74" spans="1:6" hidden="1">
      <c r="A74" s="27"/>
      <c r="B74" s="44"/>
      <c r="C74" s="1" t="s">
        <v>189</v>
      </c>
      <c r="D74" s="1"/>
      <c r="E74" s="1">
        <v>5</v>
      </c>
      <c r="F74" s="1"/>
    </row>
    <row r="75" spans="1:6" hidden="1">
      <c r="A75" s="27"/>
      <c r="B75" s="44"/>
      <c r="C75" s="1"/>
      <c r="D75" s="1"/>
      <c r="E75" s="1"/>
      <c r="F75" s="1"/>
    </row>
    <row r="76" spans="1:6" ht="26.25" hidden="1">
      <c r="A76" s="27" t="s">
        <v>184</v>
      </c>
      <c r="B76" s="44"/>
      <c r="C76" s="1" t="s">
        <v>567</v>
      </c>
      <c r="D76" s="1"/>
      <c r="E76" s="1">
        <v>1</v>
      </c>
      <c r="F76" s="1"/>
    </row>
    <row r="77" spans="1:6" hidden="1">
      <c r="A77" s="30"/>
      <c r="B77" s="307"/>
      <c r="C77" s="1" t="s">
        <v>568</v>
      </c>
      <c r="D77" s="1"/>
      <c r="E77" s="1">
        <v>2</v>
      </c>
      <c r="F77" s="1"/>
    </row>
    <row r="78" spans="1:6" hidden="1">
      <c r="A78" s="30"/>
      <c r="B78" s="307"/>
      <c r="C78" s="1" t="s">
        <v>569</v>
      </c>
      <c r="D78" s="1"/>
      <c r="E78" s="1">
        <v>3</v>
      </c>
      <c r="F78" s="1"/>
    </row>
    <row r="79" spans="1:6" hidden="1">
      <c r="A79" s="30"/>
      <c r="B79" s="307"/>
      <c r="C79" s="1" t="s">
        <v>570</v>
      </c>
      <c r="D79" s="1"/>
      <c r="E79" s="1">
        <v>4</v>
      </c>
      <c r="F79" s="1"/>
    </row>
    <row r="80" spans="1:6" hidden="1">
      <c r="A80" s="30"/>
      <c r="B80" s="307"/>
      <c r="C80" s="1" t="s">
        <v>571</v>
      </c>
      <c r="D80" s="1"/>
      <c r="E80" s="1">
        <v>5</v>
      </c>
      <c r="F80" s="1"/>
    </row>
    <row r="81" spans="1:6" hidden="1">
      <c r="A81" s="27"/>
      <c r="B81" s="44"/>
      <c r="C81" s="1"/>
      <c r="D81" s="1"/>
      <c r="E81" s="1"/>
      <c r="F81" s="1"/>
    </row>
    <row r="82" spans="1:6" hidden="1">
      <c r="A82" s="27" t="s">
        <v>194</v>
      </c>
      <c r="B82" s="44"/>
      <c r="C82" s="1"/>
      <c r="D82" s="1"/>
      <c r="E82" s="1"/>
      <c r="F82" s="1"/>
    </row>
    <row r="83" spans="1:6" hidden="1">
      <c r="A83" s="27"/>
      <c r="B83" s="44"/>
      <c r="C83" s="1"/>
      <c r="D83" s="1"/>
      <c r="E83" s="1"/>
      <c r="F83" s="1"/>
    </row>
    <row r="84" spans="1:6" hidden="1">
      <c r="A84" s="29" t="s">
        <v>195</v>
      </c>
      <c r="B84" s="307"/>
      <c r="C84" s="15">
        <v>1</v>
      </c>
      <c r="D84" s="1"/>
      <c r="E84" s="1">
        <v>1</v>
      </c>
      <c r="F84" s="1"/>
    </row>
    <row r="85" spans="1:6" ht="26.25" hidden="1">
      <c r="A85" s="39" t="s">
        <v>243</v>
      </c>
      <c r="B85" s="44"/>
      <c r="C85" s="15">
        <v>2</v>
      </c>
      <c r="D85" s="1"/>
      <c r="E85" s="1">
        <v>2</v>
      </c>
      <c r="F85" s="1"/>
    </row>
    <row r="86" spans="1:6" hidden="1">
      <c r="A86" s="27"/>
      <c r="B86" s="44"/>
      <c r="C86" s="15">
        <v>3</v>
      </c>
      <c r="D86" s="1"/>
      <c r="E86" s="1">
        <v>3</v>
      </c>
      <c r="F86" s="1"/>
    </row>
    <row r="87" spans="1:6" hidden="1">
      <c r="A87" s="27"/>
      <c r="B87" s="44"/>
      <c r="C87" s="15">
        <v>4</v>
      </c>
      <c r="D87" s="1"/>
      <c r="E87" s="1">
        <v>4</v>
      </c>
      <c r="F87" s="1"/>
    </row>
    <row r="88" spans="1:6" hidden="1">
      <c r="A88" s="27"/>
      <c r="B88" s="44"/>
      <c r="C88" s="15" t="s">
        <v>196</v>
      </c>
      <c r="D88" s="1"/>
      <c r="E88" s="1">
        <v>5</v>
      </c>
      <c r="F88" s="1"/>
    </row>
    <row r="89" spans="1:6" hidden="1">
      <c r="A89" s="27"/>
      <c r="B89" s="44"/>
      <c r="C89" s="15"/>
      <c r="D89" s="15"/>
      <c r="E89" s="15"/>
      <c r="F89" s="15"/>
    </row>
    <row r="90" spans="1:6" hidden="1">
      <c r="A90" s="27" t="s">
        <v>227</v>
      </c>
      <c r="B90" s="44"/>
      <c r="C90" s="15"/>
      <c r="D90" s="15"/>
      <c r="E90" s="15"/>
      <c r="F90" s="15"/>
    </row>
    <row r="91" spans="1:6" hidden="1">
      <c r="A91" s="29" t="s">
        <v>364</v>
      </c>
      <c r="B91" s="307"/>
      <c r="C91" s="15"/>
      <c r="D91" s="15"/>
      <c r="E91" s="15"/>
      <c r="F91" s="15"/>
    </row>
    <row r="92" spans="1:6" hidden="1">
      <c r="A92" s="29"/>
      <c r="B92" s="307"/>
      <c r="C92" s="24" t="s">
        <v>37</v>
      </c>
      <c r="D92" s="15"/>
      <c r="E92" s="5">
        <v>1</v>
      </c>
      <c r="F92" s="5"/>
    </row>
    <row r="93" spans="1:6" hidden="1">
      <c r="A93" s="29"/>
      <c r="B93" s="307"/>
      <c r="C93" s="15" t="s">
        <v>36</v>
      </c>
      <c r="D93" s="15"/>
      <c r="E93" s="5">
        <v>5</v>
      </c>
      <c r="F93" s="5"/>
    </row>
    <row r="94" spans="1:6" hidden="1">
      <c r="A94" s="29"/>
      <c r="B94" s="307"/>
      <c r="C94" s="15" t="s">
        <v>72</v>
      </c>
      <c r="D94" s="15"/>
      <c r="E94" s="5"/>
      <c r="F94" s="5"/>
    </row>
    <row r="95" spans="1:6" hidden="1">
      <c r="A95" s="29"/>
      <c r="B95" s="307"/>
      <c r="C95" s="15"/>
      <c r="D95" s="15"/>
      <c r="E95" s="5"/>
      <c r="F95" s="5"/>
    </row>
    <row r="96" spans="1:6" hidden="1">
      <c r="A96" s="29"/>
      <c r="B96" s="307"/>
      <c r="C96" s="15"/>
      <c r="D96" s="15"/>
      <c r="E96" s="5"/>
      <c r="F96" s="5"/>
    </row>
    <row r="97" hidden="1"/>
    <row r="98" hidden="1"/>
    <row r="99" hidden="1"/>
  </sheetData>
  <sheetProtection algorithmName="SHA-512" hashValue="Z/T3p1iCOB+nA9FiQ7NtzJMtrpizpGI1njJbfEsCUDYPn9+bYx+sfckO5dnyCmn2LX+Z7c2NmkoWkx6qAEZ+0g==" saltValue="VHw538Mm+VrgoiaFZbQBdg==" spinCount="100000" sheet="1" objects="1" scenarios="1"/>
  <customSheetViews>
    <customSheetView guid="{7EE74243-CD96-4613-8F82-08E917A91D99}" scale="70">
      <selection activeCell="B10" sqref="B10"/>
      <pageMargins left="0.7" right="0.7" top="0.75" bottom="0.75" header="0.3" footer="0.3"/>
    </customSheetView>
    <customSheetView guid="{77787C9C-D755-4D99-8252-290109F2917C}" scale="70">
      <selection activeCell="B10" sqref="B10"/>
      <pageMargins left="0.7" right="0.7" top="0.75" bottom="0.75" header="0.3" footer="0.3"/>
    </customSheetView>
  </customSheetViews>
  <mergeCells count="11">
    <mergeCell ref="I15:L15"/>
    <mergeCell ref="I11:L11"/>
    <mergeCell ref="I12:L12"/>
    <mergeCell ref="I13:L13"/>
    <mergeCell ref="I14:L14"/>
    <mergeCell ref="F62:F64"/>
    <mergeCell ref="C58:D58"/>
    <mergeCell ref="C59:D59"/>
    <mergeCell ref="C55:D55"/>
    <mergeCell ref="C56:D56"/>
    <mergeCell ref="C57:D57"/>
  </mergeCells>
  <dataValidations count="6">
    <dataValidation type="list" allowBlank="1" showInputMessage="1" showErrorMessage="1" sqref="B43" xr:uid="{00000000-0002-0000-0900-000000000000}">
      <formula1>#REF!</formula1>
    </dataValidation>
    <dataValidation type="list" allowBlank="1" showInputMessage="1" showErrorMessage="1" sqref="B25" xr:uid="{00000000-0002-0000-0900-000001000000}">
      <formula1>$C$69:$C$74</formula1>
    </dataValidation>
    <dataValidation type="list" allowBlank="1" showInputMessage="1" showErrorMessage="1" sqref="B13" xr:uid="{00000000-0002-0000-0900-000002000000}">
      <formula1>$C$55:$C$59</formula1>
    </dataValidation>
    <dataValidation type="list" allowBlank="1" showInputMessage="1" showErrorMessage="1" sqref="B41" xr:uid="{00000000-0002-0000-0900-000003000000}">
      <formula1>$C$84:$C$88</formula1>
    </dataValidation>
    <dataValidation type="list" allowBlank="1" showInputMessage="1" showErrorMessage="1" sqref="B12" xr:uid="{00000000-0002-0000-0900-000004000000}">
      <formula1>$C$54:$C$59</formula1>
    </dataValidation>
    <dataValidation type="list" allowBlank="1" showInputMessage="1" showErrorMessage="1" sqref="B44" xr:uid="{00000000-0002-0000-0900-000005000000}">
      <formula1>$C$91:$C$96</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7:K138"/>
  <sheetViews>
    <sheetView showGridLines="0" zoomScaleNormal="100" workbookViewId="0">
      <selection activeCell="B12" sqref="B12"/>
    </sheetView>
  </sheetViews>
  <sheetFormatPr defaultRowHeight="15"/>
  <cols>
    <col min="1" max="1" width="61.7109375" customWidth="1"/>
    <col min="2" max="2" width="27.140625" style="315" customWidth="1"/>
    <col min="3" max="3" width="22.5703125" customWidth="1"/>
    <col min="4" max="4" width="15.28515625" customWidth="1"/>
    <col min="5" max="5" width="12.28515625" bestFit="1" customWidth="1"/>
    <col min="6" max="6" width="11.28515625" style="315" bestFit="1" customWidth="1"/>
    <col min="8" max="8" width="30.7109375" customWidth="1"/>
    <col min="9" max="9" width="27.7109375" customWidth="1"/>
    <col min="10" max="10" width="20.28515625" customWidth="1"/>
    <col min="11" max="11" width="13.140625" customWidth="1"/>
  </cols>
  <sheetData>
    <row r="7" spans="1:11" ht="15.75" thickBot="1"/>
    <row r="8" spans="1:11" ht="15.75" thickBot="1">
      <c r="A8" s="705" t="s">
        <v>5</v>
      </c>
      <c r="B8" s="706" t="s">
        <v>1666</v>
      </c>
      <c r="C8" s="598" t="s">
        <v>1668</v>
      </c>
      <c r="D8" s="706" t="s">
        <v>1665</v>
      </c>
      <c r="E8" s="598"/>
      <c r="F8" s="931" t="s">
        <v>0</v>
      </c>
      <c r="H8" s="373" t="str">
        <f>A8</f>
        <v>Social Capital</v>
      </c>
      <c r="I8" s="393"/>
      <c r="J8" s="393"/>
      <c r="K8" s="596"/>
    </row>
    <row r="9" spans="1:11">
      <c r="A9" s="704"/>
      <c r="B9" s="511"/>
      <c r="C9" s="650"/>
      <c r="D9" s="511"/>
      <c r="E9" s="650"/>
      <c r="F9" s="966"/>
      <c r="H9" s="977" t="s">
        <v>220</v>
      </c>
      <c r="I9" s="971" t="s">
        <v>221</v>
      </c>
      <c r="J9" s="971"/>
      <c r="K9" s="952" t="s">
        <v>0</v>
      </c>
    </row>
    <row r="10" spans="1:11">
      <c r="A10" s="620" t="s">
        <v>10</v>
      </c>
      <c r="B10" s="44"/>
      <c r="C10" s="29"/>
      <c r="D10" s="307"/>
      <c r="E10" s="29"/>
      <c r="F10" s="938"/>
      <c r="H10" s="976" t="str">
        <f>A10</f>
        <v>Employment</v>
      </c>
      <c r="I10" s="1053" t="s">
        <v>262</v>
      </c>
      <c r="J10" s="1053"/>
      <c r="K10" s="951" t="str">
        <f>F18</f>
        <v>N/A</v>
      </c>
    </row>
    <row r="11" spans="1:11" ht="26.25" customHeight="1">
      <c r="A11" s="396" t="s">
        <v>1205</v>
      </c>
      <c r="B11" s="307"/>
      <c r="C11" s="621"/>
      <c r="D11" s="670"/>
      <c r="E11" s="621"/>
      <c r="F11" s="938"/>
      <c r="H11" s="976" t="str">
        <f>A20</f>
        <v>Skills and knowledge</v>
      </c>
      <c r="I11" s="1053" t="s">
        <v>263</v>
      </c>
      <c r="J11" s="1053"/>
      <c r="K11" s="951">
        <f>F25</f>
        <v>1</v>
      </c>
    </row>
    <row r="12" spans="1:11" ht="26.25" customHeight="1">
      <c r="A12" s="776" t="s">
        <v>1716</v>
      </c>
      <c r="B12" s="623">
        <v>0</v>
      </c>
      <c r="C12" s="622" t="s">
        <v>1719</v>
      </c>
      <c r="D12" s="897" t="e">
        <f>((B12/2200)/'Initial data collection sheet'!B32)/C134</f>
        <v>#DIV/0!</v>
      </c>
      <c r="E12" s="622" t="s">
        <v>1720</v>
      </c>
      <c r="F12" s="926" t="e">
        <f>IF(D12&lt;0.8,1,IF(D12&lt;1.2,3,5))</f>
        <v>#DIV/0!</v>
      </c>
      <c r="H12" s="976" t="str">
        <f>A27</f>
        <v>Public access</v>
      </c>
      <c r="I12" s="1053" t="s">
        <v>264</v>
      </c>
      <c r="J12" s="1053"/>
      <c r="K12" s="951">
        <f>F31</f>
        <v>1</v>
      </c>
    </row>
    <row r="13" spans="1:11" ht="52.5" customHeight="1" thickBot="1">
      <c r="A13" s="776" t="s">
        <v>1717</v>
      </c>
      <c r="B13" s="623">
        <v>0</v>
      </c>
      <c r="C13" s="622" t="s">
        <v>1644</v>
      </c>
      <c r="D13" s="897" t="e">
        <f>(B13/'Initial data collection sheet'!B32)/C134</f>
        <v>#DIV/0!</v>
      </c>
      <c r="E13" s="622" t="s">
        <v>1720</v>
      </c>
      <c r="F13" s="926" t="e">
        <f>IF(D13&lt;0.8,1,IF(D13&lt;1.2,3,5))</f>
        <v>#DIV/0!</v>
      </c>
      <c r="H13" s="979" t="s">
        <v>1523</v>
      </c>
      <c r="I13" s="1055" t="s">
        <v>591</v>
      </c>
      <c r="J13" s="1055"/>
      <c r="K13" s="960">
        <f>F39</f>
        <v>1</v>
      </c>
    </row>
    <row r="14" spans="1:11" ht="14.45" customHeight="1" thickBot="1">
      <c r="A14" s="776" t="s">
        <v>1718</v>
      </c>
      <c r="B14" s="623">
        <v>0</v>
      </c>
      <c r="C14" s="622" t="s">
        <v>1644</v>
      </c>
      <c r="D14" s="897" t="e">
        <f>(B14/'Initial data collection sheet'!B32)/C135</f>
        <v>#DIV/0!</v>
      </c>
      <c r="E14" s="622" t="s">
        <v>1720</v>
      </c>
      <c r="F14" s="926" t="e">
        <f>IF(D14&lt;0.8,1,IF(D14&lt;1.2,3,5))</f>
        <v>#DIV/0!</v>
      </c>
      <c r="J14" s="700" t="s">
        <v>1673</v>
      </c>
      <c r="K14" s="701">
        <f>F40</f>
        <v>1</v>
      </c>
    </row>
    <row r="15" spans="1:11" ht="22.9" customHeight="1">
      <c r="A15" s="682"/>
      <c r="B15" s="307"/>
      <c r="C15" s="621"/>
      <c r="D15" s="621"/>
      <c r="E15" s="621"/>
      <c r="F15" s="938" t="e">
        <f>IF(F13=5,5,IF(F13=4,4,(ROUND(AVERAGE(F12:F14),0))))</f>
        <v>#DIV/0!</v>
      </c>
    </row>
    <row r="16" spans="1:11" ht="22.9" customHeight="1">
      <c r="A16" s="682"/>
      <c r="B16" s="307"/>
      <c r="C16" s="621"/>
      <c r="D16" s="621"/>
      <c r="E16" s="621"/>
      <c r="F16" s="972"/>
    </row>
    <row r="17" spans="1:6" ht="25.5">
      <c r="A17" s="396" t="s">
        <v>1493</v>
      </c>
      <c r="B17" s="699" t="s">
        <v>72</v>
      </c>
      <c r="C17" s="621"/>
      <c r="D17" s="621"/>
      <c r="E17" s="621"/>
      <c r="F17" s="938" t="str">
        <f>IF(B17=B54,5,IF(B17=B53,3,IF(B17=B52,1,"N/A")))</f>
        <v>N/A</v>
      </c>
    </row>
    <row r="18" spans="1:6" ht="22.9" customHeight="1">
      <c r="A18" s="713"/>
      <c r="B18" s="708"/>
      <c r="C18" s="709"/>
      <c r="D18" s="709"/>
      <c r="E18" s="709"/>
      <c r="F18" s="950" t="str">
        <f>IFERROR(ROUND(AVERAGE(F15:F17),0),"N/A")</f>
        <v>N/A</v>
      </c>
    </row>
    <row r="19" spans="1:6" ht="22.9" customHeight="1">
      <c r="A19" s="714"/>
      <c r="B19" s="707"/>
      <c r="C19" s="710"/>
      <c r="D19" s="710"/>
      <c r="E19" s="710"/>
      <c r="F19" s="980"/>
    </row>
    <row r="20" spans="1:6">
      <c r="A20" s="620" t="s">
        <v>11</v>
      </c>
      <c r="B20" s="44"/>
      <c r="C20" s="621"/>
      <c r="D20" s="621"/>
      <c r="E20" s="621"/>
      <c r="F20" s="938"/>
    </row>
    <row r="21" spans="1:6" ht="25.5" customHeight="1">
      <c r="A21" s="1083" t="s">
        <v>1722</v>
      </c>
      <c r="B21" s="1084"/>
      <c r="C21" s="621"/>
      <c r="D21" s="621"/>
      <c r="E21" s="621"/>
      <c r="F21" s="938"/>
    </row>
    <row r="22" spans="1:6" ht="26.25">
      <c r="A22" s="703" t="s">
        <v>1278</v>
      </c>
      <c r="B22" s="623">
        <v>0</v>
      </c>
      <c r="C22" s="47" t="s">
        <v>1723</v>
      </c>
      <c r="D22" s="621"/>
      <c r="E22" s="621"/>
      <c r="F22" s="938">
        <f>IF(B22="n/a","n/a",IF(B22&lt;1,1,IF(B22=1,2,IF(B22=2,3,IF(B22=3,4,5)))))</f>
        <v>1</v>
      </c>
    </row>
    <row r="23" spans="1:6" ht="26.25">
      <c r="A23" s="703" t="s">
        <v>1279</v>
      </c>
      <c r="B23" s="623">
        <v>0</v>
      </c>
      <c r="C23" s="47" t="s">
        <v>1723</v>
      </c>
      <c r="D23" s="621"/>
      <c r="E23" s="621"/>
      <c r="F23" s="938">
        <f>IF(B23="n/a","n/a",IF(B23&lt;1,1,IF(B23=1,2,IF(B23=2,3,IF(B23=3,4,5)))))</f>
        <v>1</v>
      </c>
    </row>
    <row r="24" spans="1:6" ht="79.5" customHeight="1">
      <c r="A24" s="542" t="s">
        <v>1348</v>
      </c>
      <c r="B24" s="544" t="s">
        <v>471</v>
      </c>
      <c r="C24" s="621"/>
      <c r="D24" s="621"/>
      <c r="E24" s="621"/>
      <c r="F24" s="938">
        <f>IF(B24=B68,C68,IF(B24=B69,C69,IF(B24=B70,C70,IF(B24=B71,C71,"invalid data"))))</f>
        <v>1</v>
      </c>
    </row>
    <row r="25" spans="1:6">
      <c r="A25" s="715"/>
      <c r="B25" s="711"/>
      <c r="C25" s="709"/>
      <c r="D25" s="709"/>
      <c r="E25" s="709"/>
      <c r="F25" s="950">
        <f>ROUND(AVERAGE(F22:F24),0)</f>
        <v>1</v>
      </c>
    </row>
    <row r="26" spans="1:6">
      <c r="A26" s="714"/>
      <c r="B26" s="712"/>
      <c r="C26" s="710"/>
      <c r="D26" s="710"/>
      <c r="E26" s="710"/>
      <c r="F26" s="968"/>
    </row>
    <row r="27" spans="1:6">
      <c r="A27" s="620" t="s">
        <v>12</v>
      </c>
      <c r="B27" s="307"/>
      <c r="C27" s="621"/>
      <c r="D27" s="621"/>
      <c r="E27" s="621"/>
      <c r="F27" s="938"/>
    </row>
    <row r="28" spans="1:6">
      <c r="A28" s="396" t="s">
        <v>1177</v>
      </c>
      <c r="B28" s="694" t="s">
        <v>30</v>
      </c>
      <c r="C28" s="621"/>
      <c r="D28" s="621"/>
      <c r="E28" s="621"/>
      <c r="F28" s="938">
        <f>IF(B28=B75,C75,IF(B28=B76,C76,IF(B28=B77,C77,IF(B28=B78,C78,IF(B28=B79,C79,"invalid data")))))</f>
        <v>1</v>
      </c>
    </row>
    <row r="29" spans="1:6">
      <c r="A29" s="396" t="s">
        <v>1178</v>
      </c>
      <c r="B29" s="694" t="s">
        <v>37</v>
      </c>
      <c r="C29" s="621"/>
      <c r="D29" s="621"/>
      <c r="E29" s="621"/>
      <c r="F29" s="938">
        <f>IF(B29="No",1,IF(B29="yes",5,"invalid data"))</f>
        <v>1</v>
      </c>
    </row>
    <row r="30" spans="1:6">
      <c r="A30" s="396" t="s">
        <v>1179</v>
      </c>
      <c r="B30" s="694" t="s">
        <v>37</v>
      </c>
      <c r="C30" s="621"/>
      <c r="D30" s="621"/>
      <c r="E30" s="621"/>
      <c r="F30" s="938">
        <f>IF(B30="No",1,IF(B30="yes",5,"invalid data"))</f>
        <v>1</v>
      </c>
    </row>
    <row r="31" spans="1:6">
      <c r="A31" s="716"/>
      <c r="B31" s="708"/>
      <c r="C31" s="709"/>
      <c r="D31" s="709"/>
      <c r="E31" s="709"/>
      <c r="F31" s="950">
        <f>ROUND(AVERAGE(F28:F30),0)</f>
        <v>1</v>
      </c>
    </row>
    <row r="32" spans="1:6">
      <c r="A32" s="620" t="s">
        <v>1523</v>
      </c>
      <c r="B32" s="307"/>
      <c r="C32" s="621"/>
      <c r="D32" s="621"/>
      <c r="E32" s="621"/>
      <c r="F32" s="972"/>
    </row>
    <row r="33" spans="1:6">
      <c r="A33" s="396"/>
      <c r="B33" s="35"/>
      <c r="C33" s="621"/>
      <c r="D33" s="621"/>
      <c r="E33" s="621"/>
      <c r="F33" s="938"/>
    </row>
    <row r="34" spans="1:6" ht="25.5">
      <c r="A34" s="396" t="s">
        <v>525</v>
      </c>
      <c r="B34" s="699" t="s">
        <v>530</v>
      </c>
      <c r="C34" s="621"/>
      <c r="D34" s="621"/>
      <c r="E34" s="621"/>
      <c r="F34" s="938">
        <f>IF(B34=B88,5,IF(B34=B89,3,IF(B34=B90,1,"invalid data")))</f>
        <v>1</v>
      </c>
    </row>
    <row r="35" spans="1:6" ht="29.25" customHeight="1">
      <c r="A35" s="396" t="s">
        <v>1329</v>
      </c>
      <c r="B35" s="699" t="s">
        <v>72</v>
      </c>
      <c r="C35" s="621"/>
      <c r="D35" s="621"/>
      <c r="E35" s="621"/>
      <c r="F35" s="938" t="str">
        <f>IF(B35=B92,C92,IF(B35=B93,C93,IF(B35=B94,C94,IF(B35=B95,C95,IF(B35=B96,"n/a","invalid data")))))</f>
        <v>n/a</v>
      </c>
    </row>
    <row r="36" spans="1:6" s="571" customFormat="1" ht="24" customHeight="1">
      <c r="A36" s="542" t="s">
        <v>593</v>
      </c>
      <c r="B36" s="699" t="s">
        <v>72</v>
      </c>
      <c r="C36" s="622"/>
      <c r="D36" s="622"/>
      <c r="E36" s="622"/>
      <c r="F36" s="926" t="str">
        <f>IF(B36=B97,5,IF(B36=B98,3,IF(B36=B99,1,"N/A")))</f>
        <v>N/A</v>
      </c>
    </row>
    <row r="37" spans="1:6" s="571" customFormat="1" ht="62.25" customHeight="1">
      <c r="A37" s="542" t="s">
        <v>1487</v>
      </c>
      <c r="B37" s="699" t="s">
        <v>72</v>
      </c>
      <c r="C37" s="622"/>
      <c r="D37" s="622"/>
      <c r="E37" s="622"/>
      <c r="F37" s="926" t="str">
        <f>IF(B37=B106,5,IF(B37=B105,1,"N/A"))</f>
        <v>N/A</v>
      </c>
    </row>
    <row r="38" spans="1:6" s="571" customFormat="1" ht="25.5">
      <c r="A38" s="542" t="s">
        <v>1524</v>
      </c>
      <c r="B38" s="699" t="s">
        <v>72</v>
      </c>
      <c r="C38" s="622"/>
      <c r="D38" s="622"/>
      <c r="E38" s="622"/>
      <c r="F38" s="926" t="str">
        <f>IF(B38=B109,1,IF(B38=B110,3,IF(B38=B111,5,"N/A")))</f>
        <v>N/A</v>
      </c>
    </row>
    <row r="39" spans="1:6" ht="15.75" thickBot="1">
      <c r="A39" s="584"/>
      <c r="B39" s="436"/>
      <c r="C39" s="673"/>
      <c r="D39" s="673"/>
      <c r="E39" s="673"/>
      <c r="F39" s="975">
        <f>ROUND(AVERAGE(F34:F38),0)</f>
        <v>1</v>
      </c>
    </row>
    <row r="40" spans="1:6" ht="15.75" thickBot="1">
      <c r="A40" s="13"/>
      <c r="B40" s="301"/>
      <c r="C40" s="2"/>
      <c r="D40" s="2"/>
      <c r="E40" s="702" t="s">
        <v>1673</v>
      </c>
      <c r="F40" s="898">
        <f>AVERAGE(F31,F25,F18,F39)</f>
        <v>1</v>
      </c>
    </row>
    <row r="41" spans="1:6" hidden="1">
      <c r="A41" s="4" t="s">
        <v>232</v>
      </c>
      <c r="B41" s="299"/>
      <c r="C41" s="4"/>
      <c r="D41" s="4"/>
    </row>
    <row r="42" spans="1:6" hidden="1">
      <c r="A42" s="4" t="s">
        <v>233</v>
      </c>
      <c r="B42" s="299" t="s">
        <v>182</v>
      </c>
      <c r="C42" s="4"/>
      <c r="D42" s="4" t="s">
        <v>1194</v>
      </c>
    </row>
    <row r="43" spans="1:6" hidden="1">
      <c r="A43" s="27" t="s">
        <v>10</v>
      </c>
      <c r="B43" s="531"/>
      <c r="C43" s="1"/>
      <c r="D43" s="1"/>
    </row>
    <row r="44" spans="1:6" hidden="1">
      <c r="A44" s="29" t="s">
        <v>6</v>
      </c>
      <c r="B44" s="531"/>
      <c r="C44" s="1"/>
      <c r="D44" s="1" t="s">
        <v>1300</v>
      </c>
    </row>
    <row r="45" spans="1:6" hidden="1">
      <c r="A45" s="30" t="s">
        <v>7</v>
      </c>
      <c r="B45" s="531"/>
      <c r="C45" s="1"/>
      <c r="D45" s="1"/>
    </row>
    <row r="46" spans="1:6" hidden="1">
      <c r="A46" s="30" t="s">
        <v>8</v>
      </c>
      <c r="B46" s="531"/>
      <c r="C46" s="1"/>
      <c r="D46" s="1"/>
    </row>
    <row r="47" spans="1:6" hidden="1">
      <c r="A47" s="30" t="s">
        <v>122</v>
      </c>
      <c r="B47" s="531"/>
      <c r="C47" s="1"/>
      <c r="D47" s="1"/>
    </row>
    <row r="48" spans="1:6" ht="26.25" hidden="1">
      <c r="A48" s="29" t="s">
        <v>267</v>
      </c>
      <c r="B48" s="531" t="s">
        <v>268</v>
      </c>
      <c r="C48" s="1">
        <v>1</v>
      </c>
      <c r="D48" s="1"/>
    </row>
    <row r="49" spans="1:4" ht="26.25" hidden="1">
      <c r="A49" s="30" t="s">
        <v>572</v>
      </c>
      <c r="B49" s="531" t="s">
        <v>269</v>
      </c>
      <c r="C49" s="1">
        <v>3</v>
      </c>
      <c r="D49" s="1"/>
    </row>
    <row r="50" spans="1:4" hidden="1">
      <c r="A50" s="30"/>
      <c r="B50" s="531" t="s">
        <v>270</v>
      </c>
      <c r="C50" s="1">
        <v>5</v>
      </c>
      <c r="D50" s="1"/>
    </row>
    <row r="51" spans="1:4" hidden="1">
      <c r="A51" s="30"/>
      <c r="B51" s="531"/>
      <c r="C51" s="1"/>
      <c r="D51" s="1"/>
    </row>
    <row r="52" spans="1:4" ht="26.25" hidden="1">
      <c r="A52" s="30" t="str">
        <f>A17</f>
        <v>How would you describe the salary / wage  level for the staff working on your farm?</v>
      </c>
      <c r="B52" s="531" t="s">
        <v>1491</v>
      </c>
      <c r="C52" s="1">
        <v>1</v>
      </c>
      <c r="D52" s="1"/>
    </row>
    <row r="53" spans="1:4" hidden="1">
      <c r="A53" s="30"/>
      <c r="B53" s="531" t="s">
        <v>74</v>
      </c>
      <c r="C53" s="1">
        <v>3</v>
      </c>
      <c r="D53" s="1"/>
    </row>
    <row r="54" spans="1:4" hidden="1">
      <c r="A54" s="30"/>
      <c r="B54" s="531" t="s">
        <v>1492</v>
      </c>
      <c r="C54" s="1">
        <v>5</v>
      </c>
      <c r="D54" s="1"/>
    </row>
    <row r="55" spans="1:4" hidden="1">
      <c r="A55" s="30"/>
      <c r="B55" s="531" t="s">
        <v>72</v>
      </c>
      <c r="C55" s="1"/>
      <c r="D55" s="1"/>
    </row>
    <row r="56" spans="1:4" hidden="1">
      <c r="A56" s="30"/>
      <c r="B56" s="531"/>
      <c r="C56" s="1"/>
      <c r="D56" s="1"/>
    </row>
    <row r="57" spans="1:4" hidden="1">
      <c r="A57" s="30"/>
      <c r="B57" s="531"/>
      <c r="C57" s="1"/>
      <c r="D57" s="1"/>
    </row>
    <row r="58" spans="1:4" hidden="1">
      <c r="A58" s="27" t="s">
        <v>11</v>
      </c>
      <c r="B58" s="531"/>
      <c r="C58" s="1"/>
      <c r="D58" s="1"/>
    </row>
    <row r="59" spans="1:4" hidden="1">
      <c r="A59" s="29" t="s">
        <v>9</v>
      </c>
      <c r="B59" s="531"/>
      <c r="C59" s="1"/>
      <c r="D59" s="1"/>
    </row>
    <row r="60" spans="1:4" hidden="1">
      <c r="A60" s="30" t="s">
        <v>7</v>
      </c>
      <c r="B60" s="531"/>
      <c r="C60" s="1"/>
      <c r="D60" s="1"/>
    </row>
    <row r="61" spans="1:4" hidden="1">
      <c r="A61" s="30" t="s">
        <v>8</v>
      </c>
      <c r="B61" s="531"/>
      <c r="C61" s="1"/>
      <c r="D61" s="1"/>
    </row>
    <row r="62" spans="1:4" hidden="1">
      <c r="A62" s="30"/>
      <c r="B62" s="531" t="s">
        <v>531</v>
      </c>
      <c r="C62" s="1">
        <v>1</v>
      </c>
      <c r="D62" s="1"/>
    </row>
    <row r="63" spans="1:4" hidden="1">
      <c r="A63" s="30"/>
      <c r="B63" s="531">
        <v>1</v>
      </c>
      <c r="C63" s="1">
        <v>2</v>
      </c>
      <c r="D63" s="1"/>
    </row>
    <row r="64" spans="1:4" hidden="1">
      <c r="A64" s="30"/>
      <c r="B64" s="531">
        <v>2</v>
      </c>
      <c r="C64" s="1">
        <v>3</v>
      </c>
      <c r="D64" s="1"/>
    </row>
    <row r="65" spans="1:4" hidden="1">
      <c r="A65" s="30"/>
      <c r="B65" s="531">
        <v>3</v>
      </c>
      <c r="C65" s="1">
        <v>4</v>
      </c>
      <c r="D65" s="1"/>
    </row>
    <row r="66" spans="1:4" hidden="1">
      <c r="A66" s="30"/>
      <c r="B66" s="531" t="s">
        <v>532</v>
      </c>
      <c r="C66" s="1">
        <v>5</v>
      </c>
      <c r="D66" s="1"/>
    </row>
    <row r="67" spans="1:4" ht="26.25" hidden="1">
      <c r="A67" s="29" t="s">
        <v>592</v>
      </c>
      <c r="B67" s="531"/>
      <c r="C67" s="1"/>
      <c r="D67" s="1"/>
    </row>
    <row r="68" spans="1:4" hidden="1">
      <c r="A68" s="30"/>
      <c r="B68" s="531" t="s">
        <v>471</v>
      </c>
      <c r="C68" s="1">
        <v>1</v>
      </c>
      <c r="D68" s="1"/>
    </row>
    <row r="69" spans="1:4" hidden="1">
      <c r="A69" s="30"/>
      <c r="B69" s="531" t="s">
        <v>1347</v>
      </c>
      <c r="C69" s="1">
        <v>3</v>
      </c>
      <c r="D69" s="1"/>
    </row>
    <row r="70" spans="1:4" hidden="1">
      <c r="A70" s="30"/>
      <c r="B70" s="531" t="s">
        <v>1346</v>
      </c>
      <c r="C70" s="1">
        <v>4</v>
      </c>
      <c r="D70" s="1"/>
    </row>
    <row r="71" spans="1:4" hidden="1">
      <c r="A71" s="30"/>
      <c r="B71" s="531" t="s">
        <v>1345</v>
      </c>
      <c r="C71" s="1">
        <v>5</v>
      </c>
      <c r="D71" s="1"/>
    </row>
    <row r="72" spans="1:4" hidden="1">
      <c r="A72" s="29"/>
      <c r="B72" s="531"/>
      <c r="C72" s="1"/>
      <c r="D72" s="1"/>
    </row>
    <row r="73" spans="1:4" hidden="1">
      <c r="A73" s="27" t="s">
        <v>12</v>
      </c>
      <c r="B73" s="695" t="s">
        <v>12</v>
      </c>
      <c r="C73" s="1"/>
      <c r="D73" s="1"/>
    </row>
    <row r="74" spans="1:4" hidden="1">
      <c r="A74" s="29" t="s">
        <v>13</v>
      </c>
      <c r="B74" s="531"/>
      <c r="C74" s="1"/>
      <c r="D74" s="1"/>
    </row>
    <row r="75" spans="1:4" hidden="1">
      <c r="A75" s="29"/>
      <c r="B75" s="531" t="s">
        <v>30</v>
      </c>
      <c r="C75" s="1">
        <v>1</v>
      </c>
      <c r="D75" s="1"/>
    </row>
    <row r="76" spans="1:4" hidden="1">
      <c r="A76" s="29"/>
      <c r="B76" s="531" t="s">
        <v>1349</v>
      </c>
      <c r="C76" s="1">
        <v>2</v>
      </c>
      <c r="D76" s="1"/>
    </row>
    <row r="77" spans="1:4" hidden="1">
      <c r="A77" s="29"/>
      <c r="B77" s="531" t="s">
        <v>573</v>
      </c>
      <c r="C77" s="1">
        <v>3</v>
      </c>
      <c r="D77" s="1"/>
    </row>
    <row r="78" spans="1:4" hidden="1">
      <c r="A78" s="29"/>
      <c r="B78" s="531" t="s">
        <v>574</v>
      </c>
      <c r="C78" s="1">
        <v>4</v>
      </c>
      <c r="D78" s="1"/>
    </row>
    <row r="79" spans="1:4" hidden="1">
      <c r="A79" s="29"/>
      <c r="B79" s="531" t="s">
        <v>38</v>
      </c>
      <c r="C79" s="1">
        <v>5</v>
      </c>
      <c r="D79" s="1"/>
    </row>
    <row r="80" spans="1:4" hidden="1">
      <c r="A80" s="29" t="s">
        <v>14</v>
      </c>
      <c r="B80" s="531"/>
      <c r="C80" s="1"/>
      <c r="D80" s="1"/>
    </row>
    <row r="81" spans="1:4" hidden="1">
      <c r="A81" s="29"/>
      <c r="B81" s="531" t="s">
        <v>36</v>
      </c>
      <c r="C81" s="1">
        <v>5</v>
      </c>
      <c r="D81" s="1"/>
    </row>
    <row r="82" spans="1:4" hidden="1">
      <c r="A82" s="29"/>
      <c r="B82" s="531" t="s">
        <v>37</v>
      </c>
      <c r="C82" s="1">
        <v>1</v>
      </c>
      <c r="D82" s="1"/>
    </row>
    <row r="83" spans="1:4" hidden="1">
      <c r="A83" s="29" t="s">
        <v>15</v>
      </c>
      <c r="B83" s="531" t="s">
        <v>36</v>
      </c>
      <c r="C83" s="1">
        <v>5</v>
      </c>
      <c r="D83" s="1"/>
    </row>
    <row r="84" spans="1:4" hidden="1">
      <c r="A84" s="29"/>
      <c r="B84" s="531" t="s">
        <v>37</v>
      </c>
      <c r="C84" s="1">
        <v>1</v>
      </c>
      <c r="D84" s="1"/>
    </row>
    <row r="85" spans="1:4" ht="48.6" hidden="1" customHeight="1">
      <c r="A85" s="29"/>
      <c r="B85" s="1057" t="s">
        <v>271</v>
      </c>
      <c r="C85" s="1057"/>
      <c r="D85" s="1"/>
    </row>
    <row r="86" spans="1:4" hidden="1">
      <c r="A86" s="27" t="s">
        <v>524</v>
      </c>
      <c r="B86" s="531"/>
      <c r="C86" s="15"/>
      <c r="D86" s="1"/>
    </row>
    <row r="87" spans="1:4" hidden="1">
      <c r="A87" s="29"/>
      <c r="B87" s="531"/>
      <c r="C87" s="1"/>
      <c r="D87" s="1"/>
    </row>
    <row r="88" spans="1:4" ht="30" hidden="1">
      <c r="A88" s="29" t="s">
        <v>527</v>
      </c>
      <c r="B88" s="696" t="s">
        <v>528</v>
      </c>
      <c r="C88" s="1">
        <v>5</v>
      </c>
      <c r="D88" s="1"/>
    </row>
    <row r="89" spans="1:4" ht="30" hidden="1">
      <c r="A89" s="29"/>
      <c r="B89" s="696" t="s">
        <v>529</v>
      </c>
      <c r="C89" s="1">
        <v>3</v>
      </c>
      <c r="D89" s="1"/>
    </row>
    <row r="90" spans="1:4" ht="30" hidden="1">
      <c r="A90" s="29"/>
      <c r="B90" s="696" t="s">
        <v>530</v>
      </c>
      <c r="C90" s="1">
        <v>1</v>
      </c>
      <c r="D90" s="1"/>
    </row>
    <row r="91" spans="1:4" ht="26.25" hidden="1">
      <c r="A91" s="29" t="s">
        <v>1329</v>
      </c>
      <c r="B91" s="531"/>
      <c r="C91" s="1"/>
      <c r="D91" s="1"/>
    </row>
    <row r="92" spans="1:4" hidden="1">
      <c r="A92" s="29"/>
      <c r="B92" s="531" t="s">
        <v>1325</v>
      </c>
      <c r="C92" s="1">
        <v>1</v>
      </c>
      <c r="D92" s="1"/>
    </row>
    <row r="93" spans="1:4" ht="30" hidden="1">
      <c r="A93" s="29"/>
      <c r="B93" s="696" t="s">
        <v>1326</v>
      </c>
      <c r="C93" s="1">
        <v>2</v>
      </c>
      <c r="D93" s="1"/>
    </row>
    <row r="94" spans="1:4" ht="45" hidden="1">
      <c r="A94" s="29"/>
      <c r="B94" s="696" t="s">
        <v>1327</v>
      </c>
      <c r="C94" s="1">
        <v>3</v>
      </c>
      <c r="D94" s="1"/>
    </row>
    <row r="95" spans="1:4" ht="30" hidden="1">
      <c r="A95" s="29"/>
      <c r="B95" s="696" t="s">
        <v>1328</v>
      </c>
      <c r="C95" s="1">
        <v>5</v>
      </c>
      <c r="D95" s="1"/>
    </row>
    <row r="96" spans="1:4" hidden="1">
      <c r="A96" s="29"/>
      <c r="B96" s="531" t="s">
        <v>72</v>
      </c>
      <c r="C96" s="1"/>
      <c r="D96" s="1"/>
    </row>
    <row r="97" spans="1:4" hidden="1">
      <c r="A97" s="29" t="s">
        <v>526</v>
      </c>
      <c r="B97" s="531" t="s">
        <v>594</v>
      </c>
      <c r="C97" s="1">
        <v>5</v>
      </c>
      <c r="D97" s="1"/>
    </row>
    <row r="98" spans="1:4" hidden="1">
      <c r="A98" s="29"/>
      <c r="B98" s="531" t="s">
        <v>74</v>
      </c>
      <c r="C98" s="1">
        <v>3</v>
      </c>
      <c r="D98" s="1"/>
    </row>
    <row r="99" spans="1:4" hidden="1">
      <c r="A99" s="29"/>
      <c r="B99" s="531" t="s">
        <v>73</v>
      </c>
      <c r="C99" s="1">
        <v>1</v>
      </c>
      <c r="D99" s="1"/>
    </row>
    <row r="100" spans="1:4" hidden="1">
      <c r="A100" s="29"/>
      <c r="B100" s="531" t="s">
        <v>72</v>
      </c>
      <c r="C100" s="1"/>
      <c r="D100" s="1"/>
    </row>
    <row r="101" spans="1:4" hidden="1">
      <c r="A101" s="29"/>
      <c r="B101" s="531"/>
      <c r="C101" s="1"/>
      <c r="D101" s="1"/>
    </row>
    <row r="102" spans="1:4" hidden="1">
      <c r="A102" s="29"/>
      <c r="B102" s="531"/>
      <c r="C102" s="1"/>
      <c r="D102" s="1"/>
    </row>
    <row r="103" spans="1:4" ht="26.25" hidden="1">
      <c r="A103" s="29" t="str">
        <f>A37</f>
        <v>How and to what extent does the cultivation / use of the non-food product produced on the farm affect the workload?</v>
      </c>
      <c r="B103" s="531" t="s">
        <v>72</v>
      </c>
      <c r="C103" s="1"/>
      <c r="D103" s="1"/>
    </row>
    <row r="104" spans="1:4" hidden="1">
      <c r="A104" s="29"/>
      <c r="B104" s="531" t="s">
        <v>1488</v>
      </c>
      <c r="C104" s="5" t="s">
        <v>72</v>
      </c>
      <c r="D104" s="1"/>
    </row>
    <row r="105" spans="1:4" hidden="1">
      <c r="A105" s="29"/>
      <c r="B105" s="531" t="s">
        <v>1490</v>
      </c>
      <c r="C105" s="1">
        <v>1</v>
      </c>
      <c r="D105" s="1"/>
    </row>
    <row r="106" spans="1:4" ht="75" hidden="1">
      <c r="A106" s="29"/>
      <c r="B106" s="696" t="s">
        <v>1489</v>
      </c>
      <c r="C106" s="1">
        <v>5</v>
      </c>
      <c r="D106" s="1"/>
    </row>
    <row r="107" spans="1:4" hidden="1">
      <c r="A107" s="29"/>
      <c r="B107" s="531"/>
      <c r="C107" s="1"/>
      <c r="D107" s="1"/>
    </row>
    <row r="108" spans="1:4" ht="26.25" hidden="1">
      <c r="A108" s="29" t="str">
        <f>A38</f>
        <v>How does non-food product affect access to 'modern' energy types (e.g. electricity)</v>
      </c>
      <c r="B108" s="531" t="s">
        <v>72</v>
      </c>
      <c r="C108" s="5" t="s">
        <v>72</v>
      </c>
      <c r="D108" s="1"/>
    </row>
    <row r="109" spans="1:4" hidden="1">
      <c r="A109" s="29"/>
      <c r="B109" s="531" t="s">
        <v>1522</v>
      </c>
      <c r="C109" s="1">
        <v>1</v>
      </c>
      <c r="D109" s="1"/>
    </row>
    <row r="110" spans="1:4" hidden="1">
      <c r="A110" s="29"/>
      <c r="B110" s="531" t="s">
        <v>1525</v>
      </c>
      <c r="C110" s="1">
        <v>3</v>
      </c>
      <c r="D110" s="1"/>
    </row>
    <row r="111" spans="1:4" hidden="1">
      <c r="A111" s="29"/>
      <c r="B111" s="531" t="s">
        <v>1526</v>
      </c>
      <c r="C111" s="1">
        <v>5</v>
      </c>
      <c r="D111" s="1"/>
    </row>
    <row r="112" spans="1:4" hidden="1"/>
    <row r="113" spans="1:4" hidden="1">
      <c r="A113" s="33" t="s">
        <v>272</v>
      </c>
      <c r="B113" s="44"/>
      <c r="C113" s="27"/>
      <c r="D113" s="27"/>
    </row>
    <row r="114" spans="1:4" hidden="1">
      <c r="A114" s="40" t="s">
        <v>273</v>
      </c>
      <c r="B114" s="697" t="s">
        <v>274</v>
      </c>
      <c r="C114" s="21" t="s">
        <v>275</v>
      </c>
      <c r="D114" s="21" t="s">
        <v>276</v>
      </c>
    </row>
    <row r="115" spans="1:4" hidden="1">
      <c r="A115" s="29" t="s">
        <v>277</v>
      </c>
      <c r="B115" s="531">
        <v>4</v>
      </c>
      <c r="C115" s="1">
        <f>B115*('Initial data collection sheet'!B113+'Initial data collection sheet'!B114)</f>
        <v>0</v>
      </c>
      <c r="D115" s="1">
        <f t="shared" ref="D115:D120" si="0">C115/365</f>
        <v>0</v>
      </c>
    </row>
    <row r="116" spans="1:4" hidden="1">
      <c r="A116" s="29" t="s">
        <v>278</v>
      </c>
      <c r="B116" s="531">
        <v>1.68</v>
      </c>
      <c r="C116" s="1">
        <f>B116*('Initial data collection sheet'!B124+'Initial data collection sheet'!B123+'Initial data collection sheet'!B120)</f>
        <v>0</v>
      </c>
      <c r="D116" s="1">
        <f t="shared" si="0"/>
        <v>0</v>
      </c>
    </row>
    <row r="117" spans="1:4" hidden="1">
      <c r="A117" s="29" t="s">
        <v>279</v>
      </c>
      <c r="B117" s="531">
        <v>0.5</v>
      </c>
      <c r="C117" s="1">
        <f>B117*('Initial data collection sheet'!B126+'Initial data collection sheet'!B129)</f>
        <v>0</v>
      </c>
      <c r="D117" s="1">
        <f t="shared" si="0"/>
        <v>0</v>
      </c>
    </row>
    <row r="118" spans="1:4" hidden="1">
      <c r="A118" s="29" t="s">
        <v>280</v>
      </c>
      <c r="B118" s="531">
        <v>2.25</v>
      </c>
      <c r="C118" s="1">
        <f>B118*'Initial data collection sheet'!B130</f>
        <v>0</v>
      </c>
      <c r="D118" s="1">
        <f t="shared" si="0"/>
        <v>0</v>
      </c>
    </row>
    <row r="119" spans="1:4" hidden="1">
      <c r="A119" s="29" t="s">
        <v>281</v>
      </c>
      <c r="B119" s="531">
        <v>0.06</v>
      </c>
      <c r="C119" s="1">
        <f>B119*'Initial data collection sheet'!B138</f>
        <v>0</v>
      </c>
      <c r="D119" s="1">
        <f t="shared" si="0"/>
        <v>0</v>
      </c>
    </row>
    <row r="120" spans="1:4" hidden="1">
      <c r="A120" s="29" t="s">
        <v>1262</v>
      </c>
      <c r="B120" s="531">
        <v>2E-3</v>
      </c>
      <c r="C120" s="1">
        <f>B120*'Initial data collection sheet'!B139</f>
        <v>0</v>
      </c>
      <c r="D120" s="1">
        <f t="shared" si="0"/>
        <v>0</v>
      </c>
    </row>
    <row r="121" spans="1:4" hidden="1">
      <c r="A121" s="28"/>
      <c r="B121" s="531"/>
      <c r="C121" s="1"/>
      <c r="D121" s="1">
        <f>SUM(D115:D120)</f>
        <v>0</v>
      </c>
    </row>
    <row r="122" spans="1:4" hidden="1">
      <c r="A122" s="40" t="s">
        <v>282</v>
      </c>
      <c r="B122" s="697" t="s">
        <v>283</v>
      </c>
      <c r="C122" s="21" t="s">
        <v>275</v>
      </c>
      <c r="D122" s="21" t="s">
        <v>276</v>
      </c>
    </row>
    <row r="123" spans="1:4" hidden="1">
      <c r="A123" s="29" t="s">
        <v>284</v>
      </c>
      <c r="B123" s="531">
        <v>1.5</v>
      </c>
      <c r="C123" s="1">
        <f>B123*('Initial data collection sheet'!B37)</f>
        <v>0</v>
      </c>
      <c r="D123" s="1">
        <f>C123/365</f>
        <v>0</v>
      </c>
    </row>
    <row r="124" spans="1:4" hidden="1">
      <c r="A124" s="29" t="s">
        <v>285</v>
      </c>
      <c r="B124" s="531">
        <v>9.25</v>
      </c>
      <c r="C124" s="1">
        <f>B124*'Initial data collection sheet'!B46</f>
        <v>0</v>
      </c>
      <c r="D124" s="1">
        <f>C124/365</f>
        <v>0</v>
      </c>
    </row>
    <row r="125" spans="1:4" hidden="1">
      <c r="A125" s="29" t="s">
        <v>286</v>
      </c>
      <c r="B125" s="531">
        <v>3</v>
      </c>
      <c r="C125" s="1">
        <f>B125*'Initial data collection sheet'!B45</f>
        <v>0</v>
      </c>
      <c r="D125" s="1">
        <f>C125/365</f>
        <v>0</v>
      </c>
    </row>
    <row r="126" spans="1:4" hidden="1">
      <c r="A126" s="29" t="s">
        <v>287</v>
      </c>
      <c r="B126" s="531">
        <v>0.4</v>
      </c>
      <c r="C126" s="1">
        <f>B126*('Initial data collection sheet'!B96+'Initial data collection sheet'!B98+'Initial data collection sheet'!B101)</f>
        <v>0</v>
      </c>
      <c r="D126" s="1">
        <f>C126/365</f>
        <v>0</v>
      </c>
    </row>
    <row r="127" spans="1:4" hidden="1">
      <c r="A127" s="29" t="s">
        <v>288</v>
      </c>
      <c r="B127" s="531">
        <v>0.2</v>
      </c>
      <c r="C127" s="1">
        <f>'Initial data collection sheet'!B105*'Social Capital'!B127</f>
        <v>0</v>
      </c>
      <c r="D127" s="1">
        <f>C127/365</f>
        <v>0</v>
      </c>
    </row>
    <row r="128" spans="1:4" hidden="1">
      <c r="A128" s="29"/>
      <c r="B128" s="531"/>
      <c r="C128" s="1"/>
      <c r="D128" s="1">
        <f>SUM(D123:D127)</f>
        <v>0</v>
      </c>
    </row>
    <row r="129" spans="1:4" hidden="1">
      <c r="A129" s="29"/>
      <c r="B129" s="531"/>
      <c r="C129" s="1"/>
      <c r="D129" s="1"/>
    </row>
    <row r="130" spans="1:4" ht="26.25" hidden="1">
      <c r="A130" s="29" t="s">
        <v>289</v>
      </c>
      <c r="B130" s="531"/>
      <c r="C130" s="1"/>
      <c r="D130" s="1">
        <f>D121+D128</f>
        <v>0</v>
      </c>
    </row>
    <row r="131" spans="1:4" hidden="1"/>
    <row r="132" spans="1:4" hidden="1">
      <c r="A132" s="33" t="s">
        <v>1372</v>
      </c>
      <c r="B132" s="44"/>
      <c r="C132" s="27"/>
      <c r="D132" s="13"/>
    </row>
    <row r="133" spans="1:4" hidden="1">
      <c r="A133" s="33"/>
      <c r="B133" s="307" t="s">
        <v>290</v>
      </c>
      <c r="C133" s="29" t="s">
        <v>1370</v>
      </c>
      <c r="D133" s="13"/>
    </row>
    <row r="134" spans="1:4" hidden="1">
      <c r="A134" s="32" t="s">
        <v>1369</v>
      </c>
      <c r="B134" s="531"/>
      <c r="C134" s="243">
        <f>2.43/100</f>
        <v>2.4300000000000002E-2</v>
      </c>
    </row>
    <row r="135" spans="1:4" hidden="1">
      <c r="A135" s="32" t="s">
        <v>291</v>
      </c>
      <c r="B135" s="698">
        <f>1.8/(1.8+1.7)</f>
        <v>0.51428571428571435</v>
      </c>
      <c r="C135" s="243">
        <f>B135*C134</f>
        <v>1.2497142857142859E-2</v>
      </c>
      <c r="D135" t="s">
        <v>1371</v>
      </c>
    </row>
    <row r="136" spans="1:4" hidden="1">
      <c r="A136" s="32"/>
      <c r="B136" s="531"/>
      <c r="C136" s="19"/>
    </row>
    <row r="137" spans="1:4" hidden="1"/>
    <row r="138" spans="1:4" hidden="1"/>
  </sheetData>
  <sheetProtection algorithmName="SHA-512" hashValue="tkpxKNiM+wfMdZFkOMSFLR6Vh0UGLpF2nuRu+y/KUF1YxKTwPAivGZVOvOsuxoxRIsfAxd9g/7wH+ioeds+5QA==" saltValue="iyuTnWOJ8Rsopq43rzpLng==" spinCount="100000" sheet="1" objects="1" scenarios="1"/>
  <customSheetViews>
    <customSheetView guid="{7EE74243-CD96-4613-8F82-08E917A91D99}" topLeftCell="E1">
      <selection activeCell="E111" sqref="E111"/>
      <pageMargins left="0.7" right="0.7" top="0.75" bottom="0.75" header="0.3" footer="0.3"/>
      <pageSetup paperSize="9" orientation="portrait" r:id="rId1"/>
    </customSheetView>
    <customSheetView guid="{77787C9C-D755-4D99-8252-290109F2917C}" topLeftCell="A90">
      <selection activeCell="C105" sqref="C105"/>
      <pageMargins left="0.7" right="0.7" top="0.75" bottom="0.75" header="0.3" footer="0.3"/>
      <pageSetup paperSize="9" orientation="portrait" r:id="rId2"/>
    </customSheetView>
  </customSheetViews>
  <mergeCells count="6">
    <mergeCell ref="I10:J10"/>
    <mergeCell ref="B85:C85"/>
    <mergeCell ref="I11:J11"/>
    <mergeCell ref="I12:J12"/>
    <mergeCell ref="I13:J13"/>
    <mergeCell ref="A21:B21"/>
  </mergeCells>
  <dataValidations count="9">
    <dataValidation type="list" allowBlank="1" showInputMessage="1" showErrorMessage="1" sqref="B36" xr:uid="{00000000-0002-0000-0A00-000000000000}">
      <formula1>$B$97:$B$100</formula1>
    </dataValidation>
    <dataValidation type="list" allowBlank="1" showInputMessage="1" showErrorMessage="1" sqref="B28" xr:uid="{00000000-0002-0000-0A00-000001000000}">
      <formula1>$B$74:$B$79</formula1>
    </dataValidation>
    <dataValidation type="list" allowBlank="1" showInputMessage="1" showErrorMessage="1" sqref="B29:B30" xr:uid="{00000000-0002-0000-0A00-000002000000}">
      <formula1>$B$80:$B$82</formula1>
    </dataValidation>
    <dataValidation type="list" allowBlank="1" showInputMessage="1" showErrorMessage="1" sqref="B24" xr:uid="{00000000-0002-0000-0A00-000003000000}">
      <formula1>$B$67:$B$71</formula1>
    </dataValidation>
    <dataValidation type="list" allowBlank="1" showInputMessage="1" showErrorMessage="1" sqref="B34" xr:uid="{00000000-0002-0000-0A00-000004000000}">
      <formula1>$B$88:$B$90</formula1>
    </dataValidation>
    <dataValidation type="list" allowBlank="1" showInputMessage="1" showErrorMessage="1" sqref="B35" xr:uid="{00000000-0002-0000-0A00-000005000000}">
      <formula1>$B$92:$B$96</formula1>
    </dataValidation>
    <dataValidation type="list" allowBlank="1" showInputMessage="1" showErrorMessage="1" sqref="B37" xr:uid="{00000000-0002-0000-0A00-000006000000}">
      <formula1>$B$103:$B$106</formula1>
    </dataValidation>
    <dataValidation type="list" allowBlank="1" showInputMessage="1" showErrorMessage="1" sqref="B17" xr:uid="{00000000-0002-0000-0A00-000007000000}">
      <formula1>$B$52:$B$55</formula1>
    </dataValidation>
    <dataValidation type="list" allowBlank="1" showInputMessage="1" showErrorMessage="1" sqref="B38" xr:uid="{00000000-0002-0000-0A00-000008000000}">
      <formula1>$B$108:$B$111</formula1>
    </dataValidation>
  </dataValidations>
  <pageMargins left="0.7" right="0.7" top="0.75" bottom="0.75" header="0.3" footer="0.3"/>
  <pageSetup paperSize="9" orientation="portrait" r:id="rId3"/>
  <ignoredErrors>
    <ignoredError sqref="D12:D14 F12:F15" evalError="1"/>
  </ignoredErrors>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9:L110"/>
  <sheetViews>
    <sheetView showGridLines="0" zoomScaleNormal="100" workbookViewId="0">
      <selection activeCell="B12" sqref="B12"/>
    </sheetView>
  </sheetViews>
  <sheetFormatPr defaultRowHeight="15"/>
  <cols>
    <col min="1" max="1" width="74.140625" customWidth="1"/>
    <col min="2" max="2" width="21.5703125" customWidth="1"/>
    <col min="3" max="3" width="8.7109375" customWidth="1"/>
    <col min="4" max="5" width="11.140625" customWidth="1"/>
    <col min="7" max="7" width="24.7109375" customWidth="1"/>
    <col min="8" max="8" width="23.5703125" customWidth="1"/>
    <col min="9" max="9" width="15.7109375" customWidth="1"/>
    <col min="10" max="10" width="13" customWidth="1"/>
    <col min="11" max="11" width="11.85546875" customWidth="1"/>
    <col min="12" max="12" width="12.28515625" bestFit="1" customWidth="1"/>
  </cols>
  <sheetData>
    <row r="9" spans="1:12" ht="15.75" thickBot="1"/>
    <row r="10" spans="1:12" ht="15.75" thickBot="1">
      <c r="A10" s="373" t="s">
        <v>4</v>
      </c>
      <c r="B10" s="495" t="s">
        <v>1666</v>
      </c>
      <c r="C10" s="495" t="s">
        <v>1668</v>
      </c>
      <c r="D10" s="495"/>
      <c r="E10" s="978" t="s">
        <v>0</v>
      </c>
      <c r="G10" s="373" t="str">
        <f>A10</f>
        <v>Farm Business Resilience</v>
      </c>
      <c r="H10" s="393"/>
      <c r="I10" s="393"/>
      <c r="J10" s="393"/>
      <c r="K10" s="393"/>
      <c r="L10" s="596"/>
    </row>
    <row r="11" spans="1:12">
      <c r="A11" s="375" t="s">
        <v>17</v>
      </c>
      <c r="B11" s="30"/>
      <c r="C11" s="307"/>
      <c r="D11" s="307"/>
      <c r="E11" s="938"/>
      <c r="G11" s="970" t="s">
        <v>220</v>
      </c>
      <c r="H11" s="971" t="s">
        <v>221</v>
      </c>
      <c r="I11" s="971"/>
      <c r="J11" s="971"/>
      <c r="K11" s="971"/>
      <c r="L11" s="973" t="s">
        <v>0</v>
      </c>
    </row>
    <row r="12" spans="1:12" ht="35.25" customHeight="1">
      <c r="A12" s="769" t="s">
        <v>575</v>
      </c>
      <c r="B12" s="742" t="s">
        <v>580</v>
      </c>
      <c r="C12" s="768"/>
      <c r="D12" s="768"/>
      <c r="E12" s="950">
        <f>IF(B12=B34,5,IF(B12=B35,4,IF(B12=B36,3,IF(B12=B37,2,IF(B12=B38,1,"invalid data")))))</f>
        <v>1</v>
      </c>
      <c r="G12" s="964" t="str">
        <f>A11</f>
        <v>Financial viability</v>
      </c>
      <c r="H12" s="1053" t="s">
        <v>292</v>
      </c>
      <c r="I12" s="1053"/>
      <c r="J12" s="1053"/>
      <c r="K12" s="1053"/>
      <c r="L12" s="951">
        <f>E12</f>
        <v>1</v>
      </c>
    </row>
    <row r="13" spans="1:12" ht="42.75" customHeight="1" thickBot="1">
      <c r="A13" s="726" t="s">
        <v>18</v>
      </c>
      <c r="B13" s="712"/>
      <c r="C13" s="712"/>
      <c r="D13" s="712"/>
      <c r="E13" s="980"/>
      <c r="G13" s="965" t="str">
        <f>A13</f>
        <v>Farm resilience</v>
      </c>
      <c r="H13" s="1055" t="s">
        <v>595</v>
      </c>
      <c r="I13" s="1055"/>
      <c r="J13" s="1055"/>
      <c r="K13" s="1055"/>
      <c r="L13" s="960">
        <f>E28</f>
        <v>1</v>
      </c>
    </row>
    <row r="14" spans="1:12" ht="30.75" customHeight="1" thickBot="1">
      <c r="A14" s="899" t="s">
        <v>1780</v>
      </c>
      <c r="B14" s="623" t="s">
        <v>30</v>
      </c>
      <c r="C14" s="670"/>
      <c r="D14" s="670"/>
      <c r="E14" s="938">
        <f>IF(B14=B43,1,IF(B14=B44,2,IF(B14=B45,3,IF(B14=B46,4,IF(B14=B47,5,"invalid data")))))</f>
        <v>1</v>
      </c>
      <c r="K14" s="686" t="s">
        <v>1673</v>
      </c>
      <c r="L14" s="687">
        <f>E29</f>
        <v>1</v>
      </c>
    </row>
    <row r="15" spans="1:12">
      <c r="A15" s="582"/>
      <c r="B15" s="526"/>
      <c r="C15" s="670"/>
      <c r="D15" s="670"/>
      <c r="E15" s="938"/>
    </row>
    <row r="16" spans="1:12" ht="26.25">
      <c r="A16" s="582" t="s">
        <v>1480</v>
      </c>
      <c r="B16" s="574" t="s">
        <v>72</v>
      </c>
      <c r="C16" s="670"/>
      <c r="D16" s="670"/>
      <c r="E16" s="938" t="str">
        <f>IF(B16=B51,1,IF(B16=B52,2,IF(B16=B53,3,IF(B16=B54,4,IF(B16=B55,5,"N/A")))))</f>
        <v>N/A</v>
      </c>
    </row>
    <row r="17" spans="1:5">
      <c r="A17" s="582"/>
      <c r="B17" s="526"/>
      <c r="C17" s="670"/>
      <c r="D17" s="670"/>
      <c r="E17" s="938"/>
    </row>
    <row r="18" spans="1:5" ht="26.25">
      <c r="A18" s="582" t="s">
        <v>1782</v>
      </c>
      <c r="B18" s="575">
        <v>0</v>
      </c>
      <c r="C18" s="624" t="s">
        <v>294</v>
      </c>
      <c r="D18" s="670"/>
      <c r="E18" s="938">
        <f>IF(B18&lt;=1,1,IF(B18=2,2,IF(B18&lt;=4,3,IF(B18&lt;=6,4,5))))</f>
        <v>1</v>
      </c>
    </row>
    <row r="19" spans="1:5">
      <c r="A19" s="582"/>
      <c r="B19" s="526"/>
      <c r="C19" s="670"/>
      <c r="D19" s="670"/>
      <c r="E19" s="938"/>
    </row>
    <row r="20" spans="1:5">
      <c r="A20" s="582" t="s">
        <v>1180</v>
      </c>
      <c r="B20" s="575" t="s">
        <v>306</v>
      </c>
      <c r="C20" s="670"/>
      <c r="D20" s="670"/>
      <c r="E20" s="938">
        <f>IF(B20=B65,5,IF(B20=B66,4,IF(B20=B67,2,IF(B20=B68,1,"invalid data"))))</f>
        <v>1</v>
      </c>
    </row>
    <row r="21" spans="1:5">
      <c r="A21" s="582"/>
      <c r="B21" s="526"/>
      <c r="C21" s="670"/>
      <c r="D21" s="670"/>
      <c r="E21" s="938"/>
    </row>
    <row r="22" spans="1:5">
      <c r="A22" s="582" t="s">
        <v>1781</v>
      </c>
      <c r="B22" s="574" t="s">
        <v>307</v>
      </c>
      <c r="C22" s="670"/>
      <c r="D22" s="670"/>
      <c r="E22" s="938">
        <f>IF(B22=B70,1,IF(B22=B71,2,IF(B22=B72,4,IF(B22=B73,5,"invalid data"))))</f>
        <v>1</v>
      </c>
    </row>
    <row r="23" spans="1:5" ht="22.5" customHeight="1">
      <c r="A23" s="582"/>
      <c r="B23" s="526"/>
      <c r="C23" s="670"/>
      <c r="D23" s="670"/>
      <c r="E23" s="938"/>
    </row>
    <row r="24" spans="1:5">
      <c r="A24" s="582" t="s">
        <v>298</v>
      </c>
      <c r="B24" s="575" t="s">
        <v>37</v>
      </c>
      <c r="C24" s="670"/>
      <c r="D24" s="670"/>
      <c r="E24" s="938">
        <f>IF(B24="yes",5,IF(B24="no",1,"invalid data"))</f>
        <v>1</v>
      </c>
    </row>
    <row r="25" spans="1:5">
      <c r="A25" s="582"/>
      <c r="B25" s="624"/>
      <c r="C25" s="670"/>
      <c r="D25" s="670"/>
      <c r="E25" s="938"/>
    </row>
    <row r="26" spans="1:5">
      <c r="A26" s="582" t="s">
        <v>581</v>
      </c>
      <c r="B26" s="575" t="s">
        <v>37</v>
      </c>
      <c r="C26" s="670"/>
      <c r="D26" s="670"/>
      <c r="E26" s="938">
        <f>IF(B26="yes",5,IF(B26="no",1,"invalid data"))</f>
        <v>1</v>
      </c>
    </row>
    <row r="27" spans="1:5">
      <c r="A27" s="582"/>
      <c r="B27" s="621"/>
      <c r="C27" s="670"/>
      <c r="D27" s="670"/>
      <c r="E27" s="938"/>
    </row>
    <row r="28" spans="1:5" ht="15.75" thickBot="1">
      <c r="A28" s="584"/>
      <c r="B28" s="435"/>
      <c r="C28" s="770"/>
      <c r="D28" s="770"/>
      <c r="E28" s="975">
        <f>ROUND(AVERAGE(E14:E26),0)</f>
        <v>1</v>
      </c>
    </row>
    <row r="29" spans="1:5" ht="15.75" thickBot="1">
      <c r="C29" s="1067" t="s">
        <v>1673</v>
      </c>
      <c r="D29" s="1068"/>
      <c r="E29" s="823">
        <f>AVERAGE(E28,E12)</f>
        <v>1</v>
      </c>
    </row>
    <row r="30" spans="1:5" hidden="1"/>
    <row r="31" spans="1:5" hidden="1">
      <c r="A31" s="4" t="s">
        <v>232</v>
      </c>
      <c r="B31" s="4"/>
      <c r="C31" s="4"/>
      <c r="D31" s="4"/>
    </row>
    <row r="32" spans="1:5" hidden="1">
      <c r="A32" s="4" t="s">
        <v>233</v>
      </c>
      <c r="B32" s="4" t="s">
        <v>182</v>
      </c>
      <c r="C32" s="4"/>
      <c r="D32" s="4" t="s">
        <v>1194</v>
      </c>
    </row>
    <row r="33" spans="1:4" hidden="1">
      <c r="A33" s="28"/>
      <c r="B33" s="1"/>
      <c r="C33" s="1"/>
      <c r="D33" s="1"/>
    </row>
    <row r="34" spans="1:4" hidden="1">
      <c r="A34" s="29" t="s">
        <v>575</v>
      </c>
      <c r="B34" s="1" t="s">
        <v>576</v>
      </c>
      <c r="C34" s="1">
        <v>5</v>
      </c>
      <c r="D34" s="1"/>
    </row>
    <row r="35" spans="1:4" hidden="1">
      <c r="A35" s="28"/>
      <c r="B35" s="1" t="s">
        <v>577</v>
      </c>
      <c r="C35" s="1">
        <v>4</v>
      </c>
      <c r="D35" s="1"/>
    </row>
    <row r="36" spans="1:4" hidden="1">
      <c r="A36" s="28"/>
      <c r="B36" s="1" t="s">
        <v>578</v>
      </c>
      <c r="C36" s="1">
        <v>3</v>
      </c>
      <c r="D36" s="1"/>
    </row>
    <row r="37" spans="1:4" hidden="1">
      <c r="A37" s="28"/>
      <c r="B37" s="1" t="s">
        <v>579</v>
      </c>
      <c r="C37" s="1">
        <v>2</v>
      </c>
      <c r="D37" s="1"/>
    </row>
    <row r="38" spans="1:4" hidden="1">
      <c r="A38" s="28"/>
      <c r="B38" s="1" t="s">
        <v>580</v>
      </c>
      <c r="C38" s="1">
        <v>1</v>
      </c>
      <c r="D38" s="1"/>
    </row>
    <row r="39" spans="1:4" hidden="1">
      <c r="A39" s="28"/>
      <c r="B39" s="1"/>
      <c r="C39" s="1"/>
      <c r="D39" s="1"/>
    </row>
    <row r="40" spans="1:4" hidden="1">
      <c r="A40" s="30"/>
      <c r="B40" s="1"/>
      <c r="C40" s="1"/>
      <c r="D40" s="1"/>
    </row>
    <row r="41" spans="1:4" hidden="1">
      <c r="A41" s="27" t="s">
        <v>18</v>
      </c>
      <c r="B41" s="1"/>
      <c r="C41" s="1"/>
      <c r="D41" s="1"/>
    </row>
    <row r="42" spans="1:4" ht="26.25" hidden="1">
      <c r="A42" s="29" t="s">
        <v>299</v>
      </c>
      <c r="B42" s="1"/>
      <c r="C42" s="1"/>
      <c r="D42" s="1" t="s">
        <v>1197</v>
      </c>
    </row>
    <row r="43" spans="1:4" hidden="1">
      <c r="A43" s="29"/>
      <c r="B43" s="1" t="s">
        <v>30</v>
      </c>
      <c r="C43" s="1">
        <v>1</v>
      </c>
      <c r="D43" s="1"/>
    </row>
    <row r="44" spans="1:4" hidden="1">
      <c r="A44" s="29"/>
      <c r="B44" s="1" t="s">
        <v>255</v>
      </c>
      <c r="C44" s="1">
        <v>2</v>
      </c>
      <c r="D44" s="1"/>
    </row>
    <row r="45" spans="1:4" hidden="1">
      <c r="A45" s="29"/>
      <c r="B45" s="1" t="s">
        <v>300</v>
      </c>
      <c r="C45" s="1">
        <v>3</v>
      </c>
      <c r="D45" s="1"/>
    </row>
    <row r="46" spans="1:4" hidden="1">
      <c r="A46" s="29"/>
      <c r="B46" s="1" t="s">
        <v>301</v>
      </c>
      <c r="C46" s="1">
        <v>4</v>
      </c>
      <c r="D46" s="1"/>
    </row>
    <row r="47" spans="1:4" hidden="1">
      <c r="A47" s="29"/>
      <c r="B47" s="1" t="s">
        <v>293</v>
      </c>
      <c r="C47" s="1">
        <v>5</v>
      </c>
      <c r="D47" s="1"/>
    </row>
    <row r="48" spans="1:4" hidden="1">
      <c r="A48" s="29"/>
      <c r="B48" s="1"/>
      <c r="C48" s="1"/>
      <c r="D48" s="1"/>
    </row>
    <row r="49" spans="1:4" ht="26.25" hidden="1">
      <c r="A49" s="29" t="s">
        <v>1480</v>
      </c>
      <c r="B49" s="1"/>
      <c r="C49" s="1"/>
      <c r="D49" s="1"/>
    </row>
    <row r="50" spans="1:4" hidden="1">
      <c r="A50" s="29"/>
      <c r="B50" s="1" t="s">
        <v>72</v>
      </c>
      <c r="C50" s="1"/>
      <c r="D50" s="1"/>
    </row>
    <row r="51" spans="1:4" hidden="1">
      <c r="A51" s="29"/>
      <c r="B51" s="1" t="s">
        <v>1482</v>
      </c>
      <c r="C51" s="1">
        <v>1</v>
      </c>
      <c r="D51" s="1"/>
    </row>
    <row r="52" spans="1:4" hidden="1">
      <c r="A52" s="29"/>
      <c r="B52" s="1" t="s">
        <v>1481</v>
      </c>
      <c r="C52" s="1">
        <v>2</v>
      </c>
      <c r="D52" s="1"/>
    </row>
    <row r="53" spans="1:4" hidden="1">
      <c r="A53" s="29"/>
      <c r="B53" s="1" t="s">
        <v>1483</v>
      </c>
      <c r="C53" s="1">
        <v>3</v>
      </c>
      <c r="D53" s="1"/>
    </row>
    <row r="54" spans="1:4" hidden="1">
      <c r="A54" s="29"/>
      <c r="B54" s="1" t="s">
        <v>1484</v>
      </c>
      <c r="C54" s="1">
        <v>4</v>
      </c>
      <c r="D54" s="1"/>
    </row>
    <row r="55" spans="1:4" hidden="1">
      <c r="A55" s="29"/>
      <c r="B55" s="1" t="s">
        <v>1485</v>
      </c>
      <c r="C55" s="1">
        <v>5</v>
      </c>
      <c r="D55" s="1"/>
    </row>
    <row r="56" spans="1:4" hidden="1">
      <c r="A56" s="29"/>
      <c r="B56" s="1"/>
      <c r="C56" s="1"/>
      <c r="D56" s="1"/>
    </row>
    <row r="57" spans="1:4" hidden="1">
      <c r="A57" s="29" t="s">
        <v>302</v>
      </c>
      <c r="B57" s="1"/>
      <c r="C57" s="1"/>
      <c r="D57" s="1"/>
    </row>
    <row r="58" spans="1:4" hidden="1">
      <c r="A58" s="29"/>
      <c r="B58" s="15">
        <v>1</v>
      </c>
      <c r="C58" s="1">
        <v>1</v>
      </c>
      <c r="D58" s="1"/>
    </row>
    <row r="59" spans="1:4" hidden="1">
      <c r="A59" s="29"/>
      <c r="B59" s="15">
        <v>2</v>
      </c>
      <c r="C59" s="1">
        <v>2</v>
      </c>
      <c r="D59" s="1"/>
    </row>
    <row r="60" spans="1:4" hidden="1">
      <c r="A60" s="29"/>
      <c r="B60" s="22" t="s">
        <v>303</v>
      </c>
      <c r="C60" s="1">
        <v>3</v>
      </c>
      <c r="D60" s="1"/>
    </row>
    <row r="61" spans="1:4" hidden="1">
      <c r="A61" s="29"/>
      <c r="B61" s="15" t="s">
        <v>304</v>
      </c>
      <c r="C61" s="1">
        <v>4</v>
      </c>
      <c r="D61" s="1"/>
    </row>
    <row r="62" spans="1:4" hidden="1">
      <c r="A62" s="29"/>
      <c r="B62" s="15" t="s">
        <v>305</v>
      </c>
      <c r="C62" s="1">
        <v>5</v>
      </c>
      <c r="D62" s="1"/>
    </row>
    <row r="63" spans="1:4" hidden="1">
      <c r="A63" s="29"/>
      <c r="B63" s="1"/>
      <c r="C63" s="1"/>
      <c r="D63" s="1"/>
    </row>
    <row r="64" spans="1:4" ht="26.25" hidden="1">
      <c r="A64" s="29" t="s">
        <v>295</v>
      </c>
      <c r="B64" s="1"/>
      <c r="C64" s="1"/>
      <c r="D64" s="1"/>
    </row>
    <row r="65" spans="1:4" hidden="1">
      <c r="A65" s="29"/>
      <c r="B65" s="1" t="s">
        <v>519</v>
      </c>
      <c r="C65" s="1">
        <v>5</v>
      </c>
      <c r="D65" s="1"/>
    </row>
    <row r="66" spans="1:4" hidden="1">
      <c r="A66" s="29"/>
      <c r="B66" s="1" t="s">
        <v>520</v>
      </c>
      <c r="C66" s="1">
        <v>4</v>
      </c>
      <c r="D66" s="1"/>
    </row>
    <row r="67" spans="1:4" hidden="1">
      <c r="A67" s="29"/>
      <c r="B67" s="1" t="s">
        <v>521</v>
      </c>
      <c r="C67" s="1">
        <v>2</v>
      </c>
      <c r="D67" s="1"/>
    </row>
    <row r="68" spans="1:4" hidden="1">
      <c r="A68" s="29"/>
      <c r="B68" s="1" t="s">
        <v>306</v>
      </c>
      <c r="C68" s="1">
        <v>1</v>
      </c>
      <c r="D68" s="1"/>
    </row>
    <row r="69" spans="1:4" hidden="1">
      <c r="A69" s="29" t="s">
        <v>296</v>
      </c>
      <c r="B69" s="1"/>
      <c r="C69" s="1"/>
      <c r="D69" s="1"/>
    </row>
    <row r="70" spans="1:4" hidden="1">
      <c r="A70" s="29"/>
      <c r="B70" s="1" t="s">
        <v>307</v>
      </c>
      <c r="C70" s="1">
        <v>1</v>
      </c>
      <c r="D70" s="1"/>
    </row>
    <row r="71" spans="1:4" hidden="1">
      <c r="A71" s="29"/>
      <c r="B71" s="1" t="s">
        <v>297</v>
      </c>
      <c r="C71" s="1">
        <v>2</v>
      </c>
      <c r="D71" s="1"/>
    </row>
    <row r="72" spans="1:4" hidden="1">
      <c r="A72" s="29"/>
      <c r="B72" s="1" t="s">
        <v>308</v>
      </c>
      <c r="C72" s="1">
        <v>4</v>
      </c>
      <c r="D72" s="1"/>
    </row>
    <row r="73" spans="1:4" hidden="1">
      <c r="A73" s="29"/>
      <c r="B73" s="1" t="s">
        <v>309</v>
      </c>
      <c r="C73" s="1">
        <v>5</v>
      </c>
      <c r="D73" s="1"/>
    </row>
    <row r="74" spans="1:4" hidden="1">
      <c r="A74" s="29" t="s">
        <v>298</v>
      </c>
      <c r="B74" s="1"/>
      <c r="C74" s="1"/>
      <c r="D74" s="1"/>
    </row>
    <row r="75" spans="1:4" hidden="1">
      <c r="A75" s="29"/>
      <c r="B75" s="1" t="s">
        <v>36</v>
      </c>
      <c r="C75" s="1">
        <v>5</v>
      </c>
      <c r="D75" s="1"/>
    </row>
    <row r="76" spans="1:4" hidden="1">
      <c r="A76" s="29"/>
      <c r="B76" s="1" t="s">
        <v>37</v>
      </c>
      <c r="C76" s="1">
        <v>1</v>
      </c>
      <c r="D76" s="1"/>
    </row>
    <row r="77" spans="1:4" hidden="1">
      <c r="A77" s="29" t="s">
        <v>581</v>
      </c>
      <c r="B77" s="1" t="s">
        <v>36</v>
      </c>
      <c r="C77" s="1">
        <v>5</v>
      </c>
      <c r="D77" s="1"/>
    </row>
    <row r="78" spans="1:4" hidden="1">
      <c r="A78" s="29"/>
      <c r="B78" s="1" t="s">
        <v>37</v>
      </c>
      <c r="C78" s="1">
        <v>1</v>
      </c>
      <c r="D78" s="1"/>
    </row>
    <row r="79" spans="1:4" hidden="1">
      <c r="A79" s="29"/>
      <c r="B79" s="1"/>
      <c r="C79" s="1"/>
      <c r="D79" s="1"/>
    </row>
    <row r="80" spans="1:4" hidden="1">
      <c r="A80" s="29"/>
      <c r="B80" s="1"/>
      <c r="C80" s="1"/>
      <c r="D80" s="1"/>
    </row>
    <row r="81" spans="1:1" hidden="1">
      <c r="A81" s="10"/>
    </row>
    <row r="82" spans="1:1" hidden="1">
      <c r="A82" s="4" t="s">
        <v>310</v>
      </c>
    </row>
    <row r="83" spans="1:1" hidden="1">
      <c r="A83" s="29"/>
    </row>
    <row r="84" spans="1:1" hidden="1">
      <c r="A84" s="29" t="s">
        <v>266</v>
      </c>
    </row>
    <row r="85" spans="1:1" hidden="1">
      <c r="A85" s="29" t="s">
        <v>311</v>
      </c>
    </row>
    <row r="86" spans="1:1" hidden="1">
      <c r="A86" s="29" t="s">
        <v>312</v>
      </c>
    </row>
    <row r="87" spans="1:1" hidden="1">
      <c r="A87" s="29" t="s">
        <v>265</v>
      </c>
    </row>
    <row r="88" spans="1:1" hidden="1">
      <c r="A88" s="29" t="s">
        <v>313</v>
      </c>
    </row>
    <row r="89" spans="1:1" hidden="1">
      <c r="A89" s="29" t="s">
        <v>314</v>
      </c>
    </row>
    <row r="90" spans="1:1" hidden="1">
      <c r="A90" s="29" t="s">
        <v>315</v>
      </c>
    </row>
    <row r="91" spans="1:1" hidden="1">
      <c r="A91" s="29" t="s">
        <v>316</v>
      </c>
    </row>
    <row r="92" spans="1:1" hidden="1"/>
    <row r="110" ht="12" customHeight="1"/>
  </sheetData>
  <sheetProtection algorithmName="SHA-512" hashValue="5AF5Z4zBH+AA6rJ9Rd2hps6eoWjRhXnLFfrc+80FeE8AeWqoWyT/qZbgemT5dBBP8rd/tE/otV2p1IsMPdl2fA==" saltValue="g5dnG+KOarNsueVpJIfnUQ==" spinCount="100000" sheet="1" objects="1" scenarios="1"/>
  <mergeCells count="3">
    <mergeCell ref="H12:K12"/>
    <mergeCell ref="H13:K13"/>
    <mergeCell ref="C29:D29"/>
  </mergeCells>
  <dataValidations count="7">
    <dataValidation type="list" allowBlank="1" showInputMessage="1" showErrorMessage="1" sqref="B26" xr:uid="{00000000-0002-0000-0B00-000000000000}">
      <formula1>$B$77:$B$78</formula1>
    </dataValidation>
    <dataValidation type="list" allowBlank="1" showInputMessage="1" showErrorMessage="1" sqref="B12" xr:uid="{00000000-0002-0000-0B00-000001000000}">
      <formula1>$B$34:$B$38</formula1>
    </dataValidation>
    <dataValidation type="list" allowBlank="1" showInputMessage="1" showErrorMessage="1" sqref="B14" xr:uid="{00000000-0002-0000-0B00-000002000000}">
      <formula1>$B$42:$B$47</formula1>
    </dataValidation>
    <dataValidation type="list" allowBlank="1" showInputMessage="1" showErrorMessage="1" sqref="B20" xr:uid="{00000000-0002-0000-0B00-000003000000}">
      <formula1>$B$64:$B$68</formula1>
    </dataValidation>
    <dataValidation type="list" allowBlank="1" showInputMessage="1" showErrorMessage="1" sqref="B22" xr:uid="{00000000-0002-0000-0B00-000004000000}">
      <formula1>$B$70:$B$73</formula1>
    </dataValidation>
    <dataValidation type="list" allowBlank="1" showInputMessage="1" showErrorMessage="1" sqref="B24" xr:uid="{00000000-0002-0000-0B00-000005000000}">
      <formula1>$B$74:$B$76</formula1>
    </dataValidation>
    <dataValidation type="list" allowBlank="1" showInputMessage="1" showErrorMessage="1" sqref="B16" xr:uid="{00000000-0002-0000-0B00-000006000000}">
      <formula1>$B$50:$B$55</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8:L206"/>
  <sheetViews>
    <sheetView showGridLines="0" zoomScaleNormal="100" workbookViewId="0">
      <selection activeCell="B11" sqref="B11"/>
    </sheetView>
  </sheetViews>
  <sheetFormatPr defaultRowHeight="15"/>
  <cols>
    <col min="1" max="1" width="62" customWidth="1"/>
    <col min="2" max="2" width="44.5703125" style="567" customWidth="1"/>
    <col min="3" max="3" width="16.28515625" style="567" customWidth="1"/>
    <col min="4" max="4" width="14.42578125" style="567" customWidth="1"/>
    <col min="5" max="5" width="12.140625" style="567" customWidth="1"/>
    <col min="7" max="7" width="32.7109375" customWidth="1"/>
    <col min="8" max="8" width="22.5703125" customWidth="1"/>
    <col min="9" max="9" width="15.140625" customWidth="1"/>
    <col min="10" max="10" width="12.85546875" customWidth="1"/>
    <col min="11" max="11" width="12.140625" customWidth="1"/>
    <col min="12" max="12" width="13.42578125" customWidth="1"/>
  </cols>
  <sheetData>
    <row r="8" spans="1:12" ht="15.75" thickBot="1"/>
    <row r="9" spans="1:12" ht="15.75" thickBot="1">
      <c r="A9" s="373" t="s">
        <v>3</v>
      </c>
      <c r="B9" s="414" t="s">
        <v>1666</v>
      </c>
      <c r="C9" s="414" t="s">
        <v>1668</v>
      </c>
      <c r="D9" s="414" t="s">
        <v>1665</v>
      </c>
      <c r="E9" s="984" t="s">
        <v>0</v>
      </c>
      <c r="G9" s="373" t="str">
        <f>A9</f>
        <v>Animal Health &amp; Welfare</v>
      </c>
      <c r="H9" s="393"/>
      <c r="I9" s="393"/>
      <c r="J9" s="393"/>
      <c r="K9" s="393"/>
      <c r="L9" s="596"/>
    </row>
    <row r="10" spans="1:12" ht="25.5">
      <c r="A10" s="595"/>
      <c r="B10" s="634"/>
      <c r="C10" s="634"/>
      <c r="D10" s="634"/>
      <c r="E10" s="930"/>
      <c r="G10" s="985" t="s">
        <v>220</v>
      </c>
      <c r="H10" s="986" t="s">
        <v>221</v>
      </c>
      <c r="I10" s="986"/>
      <c r="J10" s="986"/>
      <c r="K10" s="986"/>
      <c r="L10" s="931" t="s">
        <v>0</v>
      </c>
    </row>
    <row r="11" spans="1:12" ht="38.25">
      <c r="A11" s="738" t="s">
        <v>1724</v>
      </c>
      <c r="B11" s="742" t="s">
        <v>260</v>
      </c>
      <c r="C11" s="735"/>
      <c r="D11" s="735"/>
      <c r="E11" s="928"/>
      <c r="G11" s="964" t="str">
        <f>A12</f>
        <v>Staff resources</v>
      </c>
      <c r="H11" s="1053" t="s">
        <v>317</v>
      </c>
      <c r="I11" s="1053"/>
      <c r="J11" s="1053"/>
      <c r="K11" s="1053"/>
      <c r="L11" s="951" t="str">
        <f>IF(B11=B204,E22,IF(B11=B205,"n/a"))</f>
        <v>n/a</v>
      </c>
    </row>
    <row r="12" spans="1:12" ht="38.25" customHeight="1">
      <c r="A12" s="775" t="s">
        <v>19</v>
      </c>
      <c r="B12" s="755"/>
      <c r="C12" s="732"/>
      <c r="D12" s="732"/>
      <c r="E12" s="929"/>
      <c r="G12" s="964" t="str">
        <f>A23</f>
        <v>Health plan</v>
      </c>
      <c r="H12" s="1053" t="s">
        <v>319</v>
      </c>
      <c r="I12" s="1053"/>
      <c r="J12" s="1053"/>
      <c r="K12" s="1053"/>
      <c r="L12" s="951" t="str">
        <f>IF(B11=B204,E33,IF(B11=B205,"n/a"))</f>
        <v>n/a</v>
      </c>
    </row>
    <row r="13" spans="1:12" ht="26.25" customHeight="1">
      <c r="A13" s="1086" t="s">
        <v>1802</v>
      </c>
      <c r="B13" s="1087"/>
      <c r="C13" s="624"/>
      <c r="D13" s="624"/>
      <c r="E13" s="926"/>
      <c r="G13" s="964" t="str">
        <f>A34</f>
        <v>Animal health</v>
      </c>
      <c r="H13" s="1053" t="s">
        <v>322</v>
      </c>
      <c r="I13" s="1053"/>
      <c r="J13" s="1053"/>
      <c r="K13" s="1053"/>
      <c r="L13" s="951" t="str">
        <f>IF(B11=B204,E41,IF(B11=B205,"n/a"))</f>
        <v>n/a</v>
      </c>
    </row>
    <row r="14" spans="1:12" ht="15" customHeight="1">
      <c r="A14" s="776" t="s">
        <v>325</v>
      </c>
      <c r="B14" s="544" t="s">
        <v>259</v>
      </c>
      <c r="C14" s="624" t="s">
        <v>1785</v>
      </c>
      <c r="D14" s="624" t="e">
        <f>B14/'Social Capital'!D115</f>
        <v>#VALUE!</v>
      </c>
      <c r="E14" s="926" t="str">
        <f t="shared" ref="E14:E19" si="0">IF(B14="n/a","n/a",IF(D14&lt;0.8,1,IF(D14&lt;1.2,3,5)))</f>
        <v>n/a</v>
      </c>
      <c r="G14" s="964" t="str">
        <f>A43</f>
        <v>Ability to perform natural behaviours</v>
      </c>
      <c r="H14" s="1053" t="s">
        <v>373</v>
      </c>
      <c r="I14" s="1053"/>
      <c r="J14" s="1053"/>
      <c r="K14" s="1053"/>
      <c r="L14" s="951" t="str">
        <f>IF(B11=B204,E51,IF(B11=B205,"n/a"))</f>
        <v>n/a</v>
      </c>
    </row>
    <row r="15" spans="1:12" ht="26.25" customHeight="1">
      <c r="A15" s="776" t="s">
        <v>326</v>
      </c>
      <c r="B15" s="544" t="s">
        <v>259</v>
      </c>
      <c r="C15" s="624" t="s">
        <v>1785</v>
      </c>
      <c r="D15" s="624" t="e">
        <f>B15/'Social Capital'!D116</f>
        <v>#VALUE!</v>
      </c>
      <c r="E15" s="926" t="str">
        <f t="shared" si="0"/>
        <v>n/a</v>
      </c>
      <c r="G15" s="964" t="s">
        <v>372</v>
      </c>
      <c r="H15" s="1053" t="s">
        <v>374</v>
      </c>
      <c r="I15" s="1053"/>
      <c r="J15" s="1053"/>
      <c r="K15" s="1053"/>
      <c r="L15" s="951" t="str">
        <f>IF(B11=B204,E56,IF(B11=B205,"n/a"))</f>
        <v>n/a</v>
      </c>
    </row>
    <row r="16" spans="1:12" ht="15" customHeight="1" thickBot="1">
      <c r="A16" s="776" t="s">
        <v>342</v>
      </c>
      <c r="B16" s="544" t="s">
        <v>259</v>
      </c>
      <c r="C16" s="624" t="s">
        <v>1785</v>
      </c>
      <c r="D16" s="624" t="e">
        <f>B16/'Social Capital'!D117</f>
        <v>#VALUE!</v>
      </c>
      <c r="E16" s="926" t="str">
        <f t="shared" si="0"/>
        <v>n/a</v>
      </c>
      <c r="G16" s="965" t="s">
        <v>459</v>
      </c>
      <c r="H16" s="1055" t="s">
        <v>460</v>
      </c>
      <c r="I16" s="1055"/>
      <c r="J16" s="1055"/>
      <c r="K16" s="1055"/>
      <c r="L16" s="960" t="str">
        <f>IF(B11=B204,E60,IF(B11=B205,"n/a"))</f>
        <v>n/a</v>
      </c>
    </row>
    <row r="17" spans="1:12" ht="15.75" thickBot="1">
      <c r="A17" s="776" t="s">
        <v>28</v>
      </c>
      <c r="B17" s="544" t="s">
        <v>259</v>
      </c>
      <c r="C17" s="624" t="s">
        <v>1785</v>
      </c>
      <c r="D17" s="624" t="e">
        <f>B17/'Social Capital'!D118</f>
        <v>#VALUE!</v>
      </c>
      <c r="E17" s="926" t="str">
        <f t="shared" si="0"/>
        <v>n/a</v>
      </c>
      <c r="K17" s="773" t="s">
        <v>1673</v>
      </c>
      <c r="L17" s="600" t="str">
        <f>IF(B11=B204,E61,IF(B11=B205,"n/a"))</f>
        <v>n/a</v>
      </c>
    </row>
    <row r="18" spans="1:12">
      <c r="A18" s="776" t="s">
        <v>281</v>
      </c>
      <c r="B18" s="544" t="s">
        <v>259</v>
      </c>
      <c r="C18" s="624" t="s">
        <v>1785</v>
      </c>
      <c r="D18" s="624" t="e">
        <f>B18/'Social Capital'!D119</f>
        <v>#VALUE!</v>
      </c>
      <c r="E18" s="926" t="str">
        <f t="shared" si="0"/>
        <v>n/a</v>
      </c>
    </row>
    <row r="19" spans="1:12">
      <c r="A19" s="776" t="s">
        <v>1262</v>
      </c>
      <c r="B19" s="544" t="s">
        <v>259</v>
      </c>
      <c r="C19" s="624" t="s">
        <v>1785</v>
      </c>
      <c r="D19" s="624" t="e">
        <f>B19/'Social Capital'!D120</f>
        <v>#VALUE!</v>
      </c>
      <c r="E19" s="926" t="str">
        <f t="shared" si="0"/>
        <v>n/a</v>
      </c>
    </row>
    <row r="20" spans="1:12" ht="33" customHeight="1">
      <c r="A20" s="542" t="s">
        <v>1671</v>
      </c>
      <c r="B20" s="544" t="s">
        <v>331</v>
      </c>
      <c r="C20" s="624"/>
      <c r="D20" s="624"/>
      <c r="E20" s="926">
        <f>IF(B20=B74,1,IF(B20=B75,2,IF(B20=B76,3,IF(B20=B77,4,IF(B20=B78,5,"invalid data")))))</f>
        <v>1</v>
      </c>
    </row>
    <row r="21" spans="1:12">
      <c r="A21" s="542" t="s">
        <v>454</v>
      </c>
      <c r="B21" s="544" t="s">
        <v>37</v>
      </c>
      <c r="C21" s="624"/>
      <c r="D21" s="624"/>
      <c r="E21" s="926">
        <f>IF(B21=B79,5,IF(B21=B80,3,IF(B21=B81,1,"invalid data")))</f>
        <v>1</v>
      </c>
    </row>
    <row r="22" spans="1:12">
      <c r="A22" s="769"/>
      <c r="B22" s="733"/>
      <c r="C22" s="733"/>
      <c r="D22" s="733"/>
      <c r="E22" s="932">
        <f>ROUND(AVERAGE(E13:E21),0)</f>
        <v>1</v>
      </c>
    </row>
    <row r="23" spans="1:12">
      <c r="A23" s="737" t="s">
        <v>20</v>
      </c>
      <c r="B23" s="755"/>
      <c r="C23" s="734"/>
      <c r="D23" s="734"/>
      <c r="E23" s="929"/>
    </row>
    <row r="24" spans="1:12">
      <c r="A24" s="542" t="s">
        <v>1181</v>
      </c>
      <c r="B24" s="623" t="s">
        <v>37</v>
      </c>
      <c r="C24" s="624"/>
      <c r="D24" s="624"/>
      <c r="E24" s="926">
        <f>IF(B24=B83,5,IF(B24=B84,3,IF(B24=B85,1,"invalid data")))</f>
        <v>1</v>
      </c>
    </row>
    <row r="25" spans="1:12">
      <c r="A25" s="542" t="s">
        <v>324</v>
      </c>
      <c r="B25" s="544" t="s">
        <v>336</v>
      </c>
      <c r="C25" s="624"/>
      <c r="D25" s="624"/>
      <c r="E25" s="926">
        <f>IF(B25=B88,5,IF(B25=B89,3,IF(B25=B90,1,"invalid data")))</f>
        <v>1</v>
      </c>
    </row>
    <row r="26" spans="1:12">
      <c r="A26" s="542" t="s">
        <v>24</v>
      </c>
      <c r="B26" s="624"/>
      <c r="C26" s="624"/>
      <c r="D26" s="624"/>
      <c r="E26" s="926"/>
    </row>
    <row r="27" spans="1:12">
      <c r="A27" s="776" t="s">
        <v>1265</v>
      </c>
      <c r="B27" s="623" t="s">
        <v>36</v>
      </c>
      <c r="C27" s="624"/>
      <c r="D27" s="624"/>
      <c r="E27" s="926">
        <f t="shared" ref="E27:E32" si="1">IF(B27="yes",5,IF(B27="no",1,IF(B27="n/a","n/a","invalid data")))</f>
        <v>5</v>
      </c>
    </row>
    <row r="28" spans="1:12">
      <c r="A28" s="776" t="s">
        <v>1266</v>
      </c>
      <c r="B28" s="623" t="s">
        <v>36</v>
      </c>
      <c r="C28" s="624"/>
      <c r="D28" s="624"/>
      <c r="E28" s="926">
        <f t="shared" si="1"/>
        <v>5</v>
      </c>
    </row>
    <row r="29" spans="1:12">
      <c r="A29" s="776" t="s">
        <v>1267</v>
      </c>
      <c r="B29" s="623" t="s">
        <v>36</v>
      </c>
      <c r="C29" s="624"/>
      <c r="D29" s="624"/>
      <c r="E29" s="926">
        <f t="shared" si="1"/>
        <v>5</v>
      </c>
    </row>
    <row r="30" spans="1:12">
      <c r="A30" s="776" t="s">
        <v>1268</v>
      </c>
      <c r="B30" s="623" t="s">
        <v>36</v>
      </c>
      <c r="C30" s="624"/>
      <c r="D30" s="624"/>
      <c r="E30" s="926">
        <f t="shared" si="1"/>
        <v>5</v>
      </c>
    </row>
    <row r="31" spans="1:12">
      <c r="A31" s="776" t="s">
        <v>1269</v>
      </c>
      <c r="B31" s="623" t="s">
        <v>36</v>
      </c>
      <c r="C31" s="624"/>
      <c r="D31" s="624"/>
      <c r="E31" s="926">
        <f t="shared" si="1"/>
        <v>5</v>
      </c>
    </row>
    <row r="32" spans="1:12">
      <c r="A32" s="776" t="s">
        <v>1270</v>
      </c>
      <c r="B32" s="623" t="s">
        <v>36</v>
      </c>
      <c r="C32" s="624"/>
      <c r="D32" s="624"/>
      <c r="E32" s="926">
        <f t="shared" si="1"/>
        <v>5</v>
      </c>
    </row>
    <row r="33" spans="1:9">
      <c r="A33" s="777"/>
      <c r="B33" s="774"/>
      <c r="C33" s="733"/>
      <c r="D33" s="733"/>
      <c r="E33" s="932">
        <f>ROUND(AVERAGE(E24:E32),0)</f>
        <v>4</v>
      </c>
    </row>
    <row r="34" spans="1:9">
      <c r="A34" s="737" t="s">
        <v>22</v>
      </c>
      <c r="B34" s="755"/>
      <c r="C34" s="734"/>
      <c r="D34" s="734"/>
      <c r="E34" s="929"/>
    </row>
    <row r="35" spans="1:9" ht="38.25">
      <c r="A35" s="542" t="s">
        <v>494</v>
      </c>
      <c r="B35" s="544" t="s">
        <v>78</v>
      </c>
      <c r="C35" s="624"/>
      <c r="D35" s="624"/>
      <c r="E35" s="926">
        <f>IF(B35=B110,5,IF(B35=B111,3,IF(B35=B112,1,"invalid data")))</f>
        <v>1</v>
      </c>
      <c r="G35" s="53"/>
      <c r="H35" s="53"/>
      <c r="I35" s="53"/>
    </row>
    <row r="36" spans="1:9">
      <c r="A36" s="542" t="s">
        <v>470</v>
      </c>
      <c r="B36" s="544" t="s">
        <v>72</v>
      </c>
      <c r="C36" s="624"/>
      <c r="D36" s="624"/>
      <c r="E36" s="926" t="str">
        <f>IF(B36=B113,5,IF(B36=B114,3,IF(B36=B115,1,"invalid data")))</f>
        <v>invalid data</v>
      </c>
      <c r="F36" s="53"/>
      <c r="G36" s="53"/>
      <c r="H36" s="53"/>
      <c r="I36" s="53"/>
    </row>
    <row r="37" spans="1:9">
      <c r="A37" s="542" t="s">
        <v>1263</v>
      </c>
      <c r="B37" s="544" t="s">
        <v>72</v>
      </c>
      <c r="C37" s="624"/>
      <c r="D37" s="624"/>
      <c r="E37" s="926" t="str">
        <f>IF(B37=B116,"n/a",IF(B37=B117,1,IF(B37=B118,3,IF(B37=B119,5,"invalid data"))))</f>
        <v>n/a</v>
      </c>
      <c r="F37" s="53"/>
      <c r="G37" s="53"/>
      <c r="H37" s="53"/>
      <c r="I37" s="53"/>
    </row>
    <row r="38" spans="1:9">
      <c r="A38" s="542" t="s">
        <v>1264</v>
      </c>
      <c r="B38" s="544" t="s">
        <v>72</v>
      </c>
      <c r="C38" s="624"/>
      <c r="D38" s="624"/>
      <c r="E38" s="926" t="str">
        <f>IF(B38=B126,"n/a",IF(B38=B127,C127,IF(B38=B128,C128,IF(B38=B129,C129,IF(B38=B130,C130,IF(B38=B131,C131,"invalid data"))))))</f>
        <v>n/a</v>
      </c>
      <c r="F38" s="53"/>
      <c r="G38" s="53"/>
      <c r="H38" s="53"/>
      <c r="I38" s="53"/>
    </row>
    <row r="39" spans="1:9" ht="25.5">
      <c r="A39" s="542" t="s">
        <v>473</v>
      </c>
      <c r="B39" s="544" t="s">
        <v>474</v>
      </c>
      <c r="C39" s="624"/>
      <c r="D39" s="624"/>
      <c r="E39" s="926">
        <f>IF(B39=B135,1,IF(B39=B136,3,IF(B39=B137,5,"invalid data")))</f>
        <v>1</v>
      </c>
      <c r="F39" s="53"/>
      <c r="G39" s="53"/>
      <c r="H39" s="53"/>
      <c r="I39" s="53"/>
    </row>
    <row r="40" spans="1:9" ht="25.5">
      <c r="A40" s="542" t="s">
        <v>1281</v>
      </c>
      <c r="B40" s="544" t="s">
        <v>72</v>
      </c>
      <c r="C40" s="624"/>
      <c r="D40" s="624"/>
      <c r="E40" s="926" t="str">
        <f>IF(B40=B120,"n/a",IF(B40=B121,5,IF(B40=B122,4,IF(B40=B123,3,IF(B40=B124,2,IF(B40=B125,1,"invalid data"))))))</f>
        <v>n/a</v>
      </c>
      <c r="F40" s="53"/>
      <c r="G40" s="53"/>
      <c r="H40" s="53"/>
      <c r="I40" s="53"/>
    </row>
    <row r="41" spans="1:9">
      <c r="A41" s="769"/>
      <c r="B41" s="735"/>
      <c r="C41" s="733"/>
      <c r="D41" s="733"/>
      <c r="E41" s="932">
        <f>ROUND(AVERAGE(E35:E40),0)</f>
        <v>1</v>
      </c>
      <c r="F41" s="53"/>
    </row>
    <row r="42" spans="1:9">
      <c r="A42" s="778"/>
      <c r="B42" s="732"/>
      <c r="C42" s="734"/>
      <c r="D42" s="734"/>
      <c r="E42" s="929"/>
    </row>
    <row r="43" spans="1:9">
      <c r="A43" s="628" t="s">
        <v>557</v>
      </c>
      <c r="B43" s="527"/>
      <c r="C43" s="624"/>
      <c r="D43" s="624"/>
      <c r="E43" s="926"/>
    </row>
    <row r="44" spans="1:9" ht="25.5">
      <c r="A44" s="542" t="s">
        <v>496</v>
      </c>
      <c r="B44" s="575" t="s">
        <v>366</v>
      </c>
      <c r="C44" s="624"/>
      <c r="D44" s="624"/>
      <c r="E44" s="926">
        <f>IF(B44=B146,5,IF(B44=B147,4,IF(B44=B148,3,IF(B44=B149,2,IF(B44=B150,1,"invalid data")))))</f>
        <v>5</v>
      </c>
    </row>
    <row r="45" spans="1:9" ht="25.5">
      <c r="A45" s="542" t="s">
        <v>558</v>
      </c>
      <c r="B45" s="575" t="s">
        <v>381</v>
      </c>
      <c r="C45" s="624"/>
      <c r="D45" s="624"/>
      <c r="E45" s="926">
        <f>IF(B45=B152,5,IF(B45=B153,4,IF(B45=B154,3,IF(B45=B155,2,IF(B45=B156,1,"invalid data")))))</f>
        <v>1</v>
      </c>
    </row>
    <row r="46" spans="1:9">
      <c r="A46" s="542" t="s">
        <v>382</v>
      </c>
      <c r="B46" s="624"/>
      <c r="C46" s="624"/>
      <c r="D46" s="624"/>
      <c r="E46" s="926"/>
    </row>
    <row r="47" spans="1:9">
      <c r="A47" s="776" t="s">
        <v>383</v>
      </c>
      <c r="B47" s="575" t="s">
        <v>386</v>
      </c>
      <c r="C47" s="624"/>
      <c r="D47" s="624"/>
      <c r="E47" s="926">
        <f>IF(B47=B158,5,IF(B47=B159,3,IF(B47=B160,1,"invalid data")))</f>
        <v>5</v>
      </c>
    </row>
    <row r="48" spans="1:9">
      <c r="A48" s="776" t="s">
        <v>384</v>
      </c>
      <c r="B48" s="575" t="s">
        <v>386</v>
      </c>
      <c r="C48" s="624"/>
      <c r="D48" s="624"/>
      <c r="E48" s="926">
        <f>IF(B48=B158,5,IF(B48=B159,3,IF(B48=B160,1,"invalid data")))</f>
        <v>5</v>
      </c>
    </row>
    <row r="49" spans="1:9">
      <c r="A49" s="776" t="s">
        <v>385</v>
      </c>
      <c r="B49" s="575" t="s">
        <v>386</v>
      </c>
      <c r="C49" s="624"/>
      <c r="D49" s="624"/>
      <c r="E49" s="926">
        <f>IF(B49=B158,5,IF(B49=B159,3,IF(B49=B160,1,"invalid data")))</f>
        <v>5</v>
      </c>
    </row>
    <row r="50" spans="1:9">
      <c r="A50" s="776"/>
      <c r="B50" s="526"/>
      <c r="C50" s="624"/>
      <c r="D50" s="624"/>
      <c r="E50" s="926"/>
    </row>
    <row r="51" spans="1:9">
      <c r="A51" s="780" t="s">
        <v>372</v>
      </c>
      <c r="B51" s="735"/>
      <c r="C51" s="733"/>
      <c r="D51" s="733"/>
      <c r="E51" s="932">
        <f>ROUND(AVERAGE(E44:E50),0)</f>
        <v>4</v>
      </c>
    </row>
    <row r="52" spans="1:9" ht="51">
      <c r="A52" s="736" t="s">
        <v>1301</v>
      </c>
      <c r="B52" s="575" t="s">
        <v>1539</v>
      </c>
      <c r="C52" s="624"/>
      <c r="D52" s="624"/>
      <c r="E52" s="926">
        <f>IF(B52=B162,1,IF(B52=B163,3,IF(B52=B164,4,IF(B52=B165,5,"invalid data"))))</f>
        <v>1</v>
      </c>
    </row>
    <row r="53" spans="1:9">
      <c r="A53" s="542" t="s">
        <v>390</v>
      </c>
      <c r="B53" s="575" t="s">
        <v>389</v>
      </c>
      <c r="C53" s="624"/>
      <c r="D53" s="624"/>
      <c r="E53" s="926">
        <f>IF(B53=B167,1,IF(B53=B168,3,IF(B53=B169,5,"invalid data")))</f>
        <v>1</v>
      </c>
      <c r="I53" t="s">
        <v>1650</v>
      </c>
    </row>
    <row r="54" spans="1:9">
      <c r="A54" s="542" t="s">
        <v>376</v>
      </c>
      <c r="B54" s="544" t="s">
        <v>36</v>
      </c>
      <c r="C54" s="624"/>
      <c r="D54" s="624"/>
      <c r="E54" s="926">
        <f>IF(B54=B170,3,IF(B54=B171,1,"invalid data"))</f>
        <v>3</v>
      </c>
    </row>
    <row r="55" spans="1:9" ht="25.5">
      <c r="A55" s="542" t="s">
        <v>596</v>
      </c>
      <c r="B55" s="544" t="s">
        <v>36</v>
      </c>
      <c r="C55" s="624"/>
      <c r="D55" s="624"/>
      <c r="E55" s="926">
        <f>IF(B55="yes",5,IF(B55="no",1,"invalid data"))</f>
        <v>5</v>
      </c>
    </row>
    <row r="56" spans="1:9">
      <c r="A56" s="542"/>
      <c r="B56" s="527"/>
      <c r="C56" s="624"/>
      <c r="D56" s="624"/>
      <c r="E56" s="952">
        <f>ROUND(AVERAGE(E52:E55),0)</f>
        <v>3</v>
      </c>
    </row>
    <row r="57" spans="1:9">
      <c r="A57" s="737" t="s">
        <v>459</v>
      </c>
      <c r="B57" s="755"/>
      <c r="C57" s="734"/>
      <c r="D57" s="734"/>
      <c r="E57" s="929"/>
    </row>
    <row r="58" spans="1:9" ht="25.5">
      <c r="A58" s="542" t="s">
        <v>464</v>
      </c>
      <c r="B58" s="544" t="s">
        <v>466</v>
      </c>
      <c r="C58" s="624"/>
      <c r="D58" s="624"/>
      <c r="E58" s="926">
        <f>IF(B58='AnimalHealth&amp;Welfare Management'!B176,5,IF(B58='AnimalHealth&amp;Welfare Management'!B177,3,IF(B58='AnimalHealth&amp;Welfare Management'!B178,1,"invalid data")))</f>
        <v>1</v>
      </c>
    </row>
    <row r="59" spans="1:9">
      <c r="A59" s="542" t="s">
        <v>462</v>
      </c>
      <c r="B59" s="544" t="s">
        <v>469</v>
      </c>
      <c r="C59" s="624"/>
      <c r="D59" s="624"/>
      <c r="E59" s="926">
        <f>IF(B59='AnimalHealth&amp;Welfare Management'!B180,5,IF(B59='AnimalHealth&amp;Welfare Management'!B181,4,IF(B59='AnimalHealth&amp;Welfare Management'!B182,3,IF(B59='AnimalHealth&amp;Welfare Management'!B183,1,"invalid data"))))</f>
        <v>1</v>
      </c>
    </row>
    <row r="60" spans="1:9" ht="15.75" thickBot="1">
      <c r="A60" s="584"/>
      <c r="B60" s="779"/>
      <c r="C60" s="740"/>
      <c r="D60" s="740"/>
      <c r="E60" s="933">
        <f>ROUND(AVERAGE(E58:E59),0)</f>
        <v>1</v>
      </c>
    </row>
    <row r="61" spans="1:9" ht="15.75" thickBot="1">
      <c r="A61" s="23"/>
      <c r="D61" s="773" t="s">
        <v>1673</v>
      </c>
      <c r="E61" s="626" t="str">
        <f>IF(B11="no","n/a",AVERAGE(E56,E41,E33,E22,E51,E60))</f>
        <v>n/a</v>
      </c>
    </row>
    <row r="62" spans="1:9" hidden="1"/>
    <row r="63" spans="1:9" hidden="1">
      <c r="A63" s="4" t="s">
        <v>233</v>
      </c>
      <c r="B63" s="771" t="s">
        <v>182</v>
      </c>
      <c r="C63" s="392"/>
      <c r="D63" s="392" t="s">
        <v>1194</v>
      </c>
    </row>
    <row r="64" spans="1:9" hidden="1">
      <c r="A64" s="27" t="s">
        <v>19</v>
      </c>
      <c r="B64" s="568"/>
      <c r="C64" s="568"/>
      <c r="D64" s="568"/>
    </row>
    <row r="65" spans="1:4" hidden="1">
      <c r="A65" s="29" t="s">
        <v>318</v>
      </c>
      <c r="B65" s="568"/>
      <c r="C65" s="568"/>
      <c r="D65" s="568" t="s">
        <v>1198</v>
      </c>
    </row>
    <row r="66" spans="1:4" ht="51.75" hidden="1">
      <c r="A66" s="29" t="s">
        <v>492</v>
      </c>
      <c r="B66" s="568" t="s">
        <v>327</v>
      </c>
      <c r="C66" s="568">
        <v>1</v>
      </c>
      <c r="D66" s="568"/>
    </row>
    <row r="67" spans="1:4" hidden="1">
      <c r="A67" s="29"/>
      <c r="B67" s="568" t="s">
        <v>269</v>
      </c>
      <c r="C67" s="568">
        <v>3</v>
      </c>
      <c r="D67" s="568"/>
    </row>
    <row r="68" spans="1:4" hidden="1">
      <c r="A68" s="29"/>
      <c r="B68" s="568" t="s">
        <v>270</v>
      </c>
      <c r="C68" s="568">
        <v>5</v>
      </c>
      <c r="D68" s="568"/>
    </row>
    <row r="69" spans="1:4" hidden="1">
      <c r="A69" s="29"/>
      <c r="B69" s="568"/>
      <c r="C69" s="568"/>
      <c r="D69" s="568"/>
    </row>
    <row r="70" spans="1:4" hidden="1">
      <c r="A70" s="29"/>
      <c r="B70" s="568" t="s">
        <v>328</v>
      </c>
      <c r="C70" s="568">
        <v>1</v>
      </c>
      <c r="D70" s="568"/>
    </row>
    <row r="71" spans="1:4" hidden="1">
      <c r="A71" s="29"/>
      <c r="B71" s="568" t="s">
        <v>329</v>
      </c>
      <c r="C71" s="568">
        <v>3</v>
      </c>
      <c r="D71" s="568"/>
    </row>
    <row r="72" spans="1:4" hidden="1">
      <c r="A72" s="29"/>
      <c r="B72" s="568" t="s">
        <v>330</v>
      </c>
      <c r="C72" s="568">
        <v>5</v>
      </c>
      <c r="D72" s="568"/>
    </row>
    <row r="73" spans="1:4" ht="26.25" hidden="1">
      <c r="A73" s="29" t="s">
        <v>320</v>
      </c>
      <c r="B73" s="568"/>
      <c r="C73" s="568"/>
      <c r="D73" s="568"/>
    </row>
    <row r="74" spans="1:4" hidden="1">
      <c r="A74" s="29"/>
      <c r="B74" s="568" t="s">
        <v>331</v>
      </c>
      <c r="C74" s="568">
        <v>1</v>
      </c>
      <c r="D74" s="568"/>
    </row>
    <row r="75" spans="1:4" hidden="1">
      <c r="A75" s="29"/>
      <c r="B75" s="568" t="s">
        <v>332</v>
      </c>
      <c r="C75" s="568">
        <v>2</v>
      </c>
      <c r="D75" s="568"/>
    </row>
    <row r="76" spans="1:4" hidden="1">
      <c r="A76" s="29"/>
      <c r="B76" s="568" t="s">
        <v>321</v>
      </c>
      <c r="C76" s="568">
        <v>3</v>
      </c>
      <c r="D76" s="568"/>
    </row>
    <row r="77" spans="1:4" hidden="1">
      <c r="A77" s="29"/>
      <c r="B77" s="568" t="s">
        <v>333</v>
      </c>
      <c r="C77" s="568">
        <v>4</v>
      </c>
      <c r="D77" s="568"/>
    </row>
    <row r="78" spans="1:4" hidden="1">
      <c r="A78" s="29"/>
      <c r="B78" s="568" t="s">
        <v>334</v>
      </c>
      <c r="C78" s="568">
        <v>5</v>
      </c>
      <c r="D78" s="568"/>
    </row>
    <row r="79" spans="1:4" hidden="1">
      <c r="A79" s="29" t="s">
        <v>455</v>
      </c>
      <c r="B79" s="568" t="s">
        <v>477</v>
      </c>
      <c r="C79" s="568">
        <v>5</v>
      </c>
      <c r="D79" s="568"/>
    </row>
    <row r="80" spans="1:4" hidden="1">
      <c r="A80" s="29"/>
      <c r="B80" s="568" t="s">
        <v>478</v>
      </c>
      <c r="C80" s="568">
        <v>3</v>
      </c>
      <c r="D80" s="568"/>
    </row>
    <row r="81" spans="1:4" hidden="1">
      <c r="A81" s="29"/>
      <c r="B81" s="568" t="s">
        <v>37</v>
      </c>
      <c r="C81" s="568">
        <v>1</v>
      </c>
      <c r="D81" s="568"/>
    </row>
    <row r="82" spans="1:4" hidden="1">
      <c r="A82" s="27" t="s">
        <v>20</v>
      </c>
      <c r="B82" s="568"/>
      <c r="C82" s="568"/>
      <c r="D82" s="568"/>
    </row>
    <row r="83" spans="1:4" hidden="1">
      <c r="A83" s="29" t="s">
        <v>21</v>
      </c>
      <c r="B83" s="568" t="s">
        <v>335</v>
      </c>
      <c r="C83" s="568">
        <v>5</v>
      </c>
      <c r="D83" s="568"/>
    </row>
    <row r="84" spans="1:4" hidden="1">
      <c r="A84" s="29"/>
      <c r="B84" s="568" t="s">
        <v>323</v>
      </c>
      <c r="C84" s="568">
        <v>3</v>
      </c>
      <c r="D84" s="568"/>
    </row>
    <row r="85" spans="1:4" hidden="1">
      <c r="A85" s="29"/>
      <c r="B85" s="568" t="s">
        <v>37</v>
      </c>
      <c r="C85" s="568">
        <v>1</v>
      </c>
      <c r="D85" s="568"/>
    </row>
    <row r="86" spans="1:4" hidden="1">
      <c r="A86" s="29"/>
      <c r="B86" s="568"/>
      <c r="C86" s="568"/>
      <c r="D86" s="568"/>
    </row>
    <row r="87" spans="1:4" hidden="1">
      <c r="A87" s="29" t="s">
        <v>23</v>
      </c>
      <c r="B87" s="568"/>
      <c r="C87" s="568"/>
      <c r="D87" s="568"/>
    </row>
    <row r="88" spans="1:4" hidden="1">
      <c r="A88" s="29"/>
      <c r="B88" s="568" t="s">
        <v>582</v>
      </c>
      <c r="C88" s="568">
        <v>5</v>
      </c>
      <c r="D88" s="568"/>
    </row>
    <row r="89" spans="1:4" hidden="1">
      <c r="A89" s="29"/>
      <c r="B89" s="568" t="s">
        <v>583</v>
      </c>
      <c r="C89" s="568">
        <v>3</v>
      </c>
      <c r="D89" s="568"/>
    </row>
    <row r="90" spans="1:4" hidden="1">
      <c r="A90" s="29"/>
      <c r="B90" s="568" t="s">
        <v>336</v>
      </c>
      <c r="C90" s="568">
        <v>1</v>
      </c>
      <c r="D90" s="568"/>
    </row>
    <row r="91" spans="1:4" hidden="1">
      <c r="A91" s="29" t="s">
        <v>24</v>
      </c>
      <c r="B91" s="568"/>
      <c r="C91" s="568"/>
      <c r="D91" s="568"/>
    </row>
    <row r="92" spans="1:4" hidden="1">
      <c r="A92" s="30" t="s">
        <v>1265</v>
      </c>
      <c r="B92" s="568"/>
      <c r="C92" s="568"/>
      <c r="D92" s="568"/>
    </row>
    <row r="93" spans="1:4" hidden="1">
      <c r="A93" s="30"/>
      <c r="B93" s="568" t="s">
        <v>36</v>
      </c>
      <c r="C93" s="568">
        <v>5</v>
      </c>
      <c r="D93" s="568"/>
    </row>
    <row r="94" spans="1:4" hidden="1">
      <c r="A94" s="30"/>
      <c r="B94" s="568" t="s">
        <v>37</v>
      </c>
      <c r="C94" s="568">
        <v>1</v>
      </c>
      <c r="D94" s="568"/>
    </row>
    <row r="95" spans="1:4" hidden="1">
      <c r="A95" s="30" t="s">
        <v>1266</v>
      </c>
      <c r="B95" s="568" t="s">
        <v>1271</v>
      </c>
      <c r="C95" s="568" t="s">
        <v>1272</v>
      </c>
      <c r="D95" s="568"/>
    </row>
    <row r="96" spans="1:4" hidden="1">
      <c r="A96" s="30" t="s">
        <v>1267</v>
      </c>
      <c r="B96" s="568" t="s">
        <v>1271</v>
      </c>
      <c r="C96" s="568" t="s">
        <v>1272</v>
      </c>
      <c r="D96" s="568"/>
    </row>
    <row r="97" spans="1:4" hidden="1">
      <c r="A97" s="30" t="s">
        <v>1268</v>
      </c>
      <c r="B97" s="568" t="s">
        <v>1271</v>
      </c>
      <c r="C97" s="568" t="s">
        <v>1272</v>
      </c>
      <c r="D97" s="568"/>
    </row>
    <row r="98" spans="1:4" hidden="1">
      <c r="A98" s="30" t="s">
        <v>1269</v>
      </c>
      <c r="B98" s="568" t="s">
        <v>1271</v>
      </c>
      <c r="C98" s="568" t="s">
        <v>1272</v>
      </c>
      <c r="D98" s="568"/>
    </row>
    <row r="99" spans="1:4" hidden="1">
      <c r="A99" s="30" t="s">
        <v>1270</v>
      </c>
      <c r="B99" s="568" t="s">
        <v>1271</v>
      </c>
      <c r="C99" s="568" t="s">
        <v>1272</v>
      </c>
      <c r="D99" s="568"/>
    </row>
    <row r="100" spans="1:4" hidden="1">
      <c r="A100" s="30"/>
      <c r="B100" s="568"/>
      <c r="C100" s="568"/>
      <c r="D100" s="568"/>
    </row>
    <row r="101" spans="1:4" hidden="1">
      <c r="A101" s="27" t="s">
        <v>22</v>
      </c>
      <c r="B101" s="568"/>
      <c r="C101" s="568"/>
      <c r="D101" s="568"/>
    </row>
    <row r="102" spans="1:4" hidden="1">
      <c r="A102" s="29"/>
      <c r="B102" s="568"/>
      <c r="C102" s="568"/>
      <c r="D102" s="568"/>
    </row>
    <row r="103" spans="1:4" ht="26.25" hidden="1">
      <c r="A103" s="29" t="s">
        <v>25</v>
      </c>
      <c r="B103" s="568"/>
      <c r="C103" s="568"/>
      <c r="D103" s="1085" t="s">
        <v>1199</v>
      </c>
    </row>
    <row r="104" spans="1:4" ht="77.25" hidden="1">
      <c r="A104" s="30" t="s">
        <v>1333</v>
      </c>
      <c r="B104" s="568" t="s">
        <v>1302</v>
      </c>
      <c r="C104" s="568">
        <v>5</v>
      </c>
      <c r="D104" s="1085"/>
    </row>
    <row r="105" spans="1:4" hidden="1">
      <c r="A105" s="30"/>
      <c r="B105" s="568" t="s">
        <v>1335</v>
      </c>
      <c r="C105" s="568">
        <v>4</v>
      </c>
      <c r="D105" s="1085"/>
    </row>
    <row r="106" spans="1:4" hidden="1">
      <c r="A106" s="30"/>
      <c r="B106" s="568" t="s">
        <v>1334</v>
      </c>
      <c r="C106" s="568">
        <v>3</v>
      </c>
      <c r="D106" s="1085"/>
    </row>
    <row r="107" spans="1:4" hidden="1">
      <c r="A107" s="30"/>
      <c r="B107" s="568" t="s">
        <v>1336</v>
      </c>
      <c r="C107" s="568">
        <v>2</v>
      </c>
      <c r="D107" s="1085"/>
    </row>
    <row r="108" spans="1:4" hidden="1">
      <c r="A108" s="30"/>
      <c r="B108" s="568" t="s">
        <v>1337</v>
      </c>
      <c r="C108" s="568">
        <v>1</v>
      </c>
      <c r="D108" s="1085"/>
    </row>
    <row r="109" spans="1:4" hidden="1">
      <c r="A109" s="29" t="s">
        <v>490</v>
      </c>
      <c r="B109" s="568"/>
      <c r="C109" s="568"/>
      <c r="D109" s="568"/>
    </row>
    <row r="110" spans="1:4" hidden="1">
      <c r="A110" s="29"/>
      <c r="B110" s="568" t="s">
        <v>151</v>
      </c>
      <c r="C110" s="568">
        <v>5</v>
      </c>
      <c r="D110" s="568"/>
    </row>
    <row r="111" spans="1:4" hidden="1">
      <c r="A111" s="29"/>
      <c r="B111" s="568" t="s">
        <v>491</v>
      </c>
      <c r="C111" s="568">
        <v>3</v>
      </c>
      <c r="D111" s="568"/>
    </row>
    <row r="112" spans="1:4" hidden="1">
      <c r="A112" s="30"/>
      <c r="B112" s="568" t="s">
        <v>78</v>
      </c>
      <c r="C112" s="568">
        <v>1</v>
      </c>
      <c r="D112" s="568"/>
    </row>
    <row r="113" spans="1:4" hidden="1">
      <c r="A113" s="29" t="s">
        <v>470</v>
      </c>
      <c r="B113" s="568" t="s">
        <v>471</v>
      </c>
      <c r="C113" s="568">
        <v>5</v>
      </c>
      <c r="D113" s="568"/>
    </row>
    <row r="114" spans="1:4" hidden="1">
      <c r="A114" s="30"/>
      <c r="B114" s="568" t="s">
        <v>420</v>
      </c>
      <c r="C114" s="568">
        <v>3</v>
      </c>
      <c r="D114" s="568"/>
    </row>
    <row r="115" spans="1:4" hidden="1">
      <c r="A115" s="30"/>
      <c r="B115" s="568" t="s">
        <v>472</v>
      </c>
      <c r="C115" s="568">
        <v>1</v>
      </c>
      <c r="D115" s="568"/>
    </row>
    <row r="116" spans="1:4" hidden="1">
      <c r="A116" s="29" t="s">
        <v>1263</v>
      </c>
      <c r="B116" s="568" t="s">
        <v>72</v>
      </c>
      <c r="C116" s="568" t="s">
        <v>72</v>
      </c>
      <c r="D116" s="568"/>
    </row>
    <row r="117" spans="1:4" hidden="1">
      <c r="A117" s="30"/>
      <c r="B117" s="568" t="s">
        <v>471</v>
      </c>
      <c r="C117" s="568">
        <v>1</v>
      </c>
      <c r="D117" s="568"/>
    </row>
    <row r="118" spans="1:4" hidden="1">
      <c r="A118" s="30"/>
      <c r="B118" s="568" t="s">
        <v>420</v>
      </c>
      <c r="C118" s="568">
        <v>3</v>
      </c>
      <c r="D118" s="568"/>
    </row>
    <row r="119" spans="1:4" hidden="1">
      <c r="A119" s="30"/>
      <c r="B119" s="568" t="s">
        <v>472</v>
      </c>
      <c r="C119" s="568">
        <v>5</v>
      </c>
      <c r="D119" s="568"/>
    </row>
    <row r="120" spans="1:4" ht="26.25" hidden="1">
      <c r="A120" s="29" t="s">
        <v>495</v>
      </c>
      <c r="B120" s="568" t="s">
        <v>72</v>
      </c>
      <c r="C120" s="568" t="s">
        <v>72</v>
      </c>
      <c r="D120" s="1085" t="s">
        <v>1200</v>
      </c>
    </row>
    <row r="121" spans="1:4" hidden="1">
      <c r="A121" s="29"/>
      <c r="B121" s="568" t="s">
        <v>511</v>
      </c>
      <c r="C121" s="568">
        <v>5</v>
      </c>
      <c r="D121" s="1085"/>
    </row>
    <row r="122" spans="1:4" hidden="1">
      <c r="A122" s="29"/>
      <c r="B122" s="568" t="s">
        <v>512</v>
      </c>
      <c r="C122" s="568">
        <v>4</v>
      </c>
      <c r="D122" s="1085"/>
    </row>
    <row r="123" spans="1:4" hidden="1">
      <c r="A123" s="29"/>
      <c r="B123" s="568" t="s">
        <v>513</v>
      </c>
      <c r="C123" s="568">
        <v>3</v>
      </c>
      <c r="D123" s="1085"/>
    </row>
    <row r="124" spans="1:4" hidden="1">
      <c r="A124" s="29"/>
      <c r="B124" s="568" t="s">
        <v>514</v>
      </c>
      <c r="C124" s="568">
        <v>2</v>
      </c>
      <c r="D124" s="1085"/>
    </row>
    <row r="125" spans="1:4" hidden="1">
      <c r="A125" s="30"/>
      <c r="B125" s="568" t="s">
        <v>515</v>
      </c>
      <c r="C125" s="568">
        <v>1</v>
      </c>
      <c r="D125" s="1085"/>
    </row>
    <row r="126" spans="1:4" hidden="1">
      <c r="A126" s="29" t="s">
        <v>1264</v>
      </c>
      <c r="B126" s="568" t="s">
        <v>72</v>
      </c>
      <c r="C126" s="568" t="s">
        <v>72</v>
      </c>
      <c r="D126" s="568"/>
    </row>
    <row r="127" spans="1:4" hidden="1">
      <c r="A127" s="30"/>
      <c r="B127" s="568" t="s">
        <v>608</v>
      </c>
      <c r="C127" s="568">
        <v>5</v>
      </c>
      <c r="D127" s="1085" t="s">
        <v>1202</v>
      </c>
    </row>
    <row r="128" spans="1:4" hidden="1">
      <c r="A128" s="30"/>
      <c r="B128" s="568" t="s">
        <v>609</v>
      </c>
      <c r="C128" s="568">
        <v>4</v>
      </c>
      <c r="D128" s="1085"/>
    </row>
    <row r="129" spans="1:4" hidden="1">
      <c r="A129" s="30"/>
      <c r="B129" s="568" t="s">
        <v>610</v>
      </c>
      <c r="C129" s="568">
        <v>3</v>
      </c>
      <c r="D129" s="1085"/>
    </row>
    <row r="130" spans="1:4" hidden="1">
      <c r="A130" s="30"/>
      <c r="B130" s="568" t="s">
        <v>611</v>
      </c>
      <c r="C130" s="568">
        <v>2</v>
      </c>
      <c r="D130" s="1085"/>
    </row>
    <row r="131" spans="1:4" hidden="1">
      <c r="A131" s="30"/>
      <c r="B131" s="568" t="s">
        <v>612</v>
      </c>
      <c r="C131" s="568">
        <v>1</v>
      </c>
      <c r="D131" s="568"/>
    </row>
    <row r="132" spans="1:4" hidden="1">
      <c r="A132" s="30"/>
      <c r="B132" s="568"/>
      <c r="C132" s="568"/>
      <c r="D132" s="568"/>
    </row>
    <row r="133" spans="1:4" hidden="1">
      <c r="A133" s="30"/>
      <c r="B133" s="568"/>
      <c r="C133" s="568"/>
      <c r="D133" s="568"/>
    </row>
    <row r="134" spans="1:4" ht="26.25" hidden="1">
      <c r="A134" s="29" t="s">
        <v>473</v>
      </c>
      <c r="B134" s="568"/>
      <c r="C134" s="568"/>
      <c r="D134" s="568"/>
    </row>
    <row r="135" spans="1:4" hidden="1">
      <c r="A135" s="30"/>
      <c r="B135" s="568" t="s">
        <v>474</v>
      </c>
      <c r="C135" s="568">
        <v>1</v>
      </c>
      <c r="D135" s="568"/>
    </row>
    <row r="136" spans="1:4" hidden="1">
      <c r="A136" s="30"/>
      <c r="B136" s="568" t="s">
        <v>475</v>
      </c>
      <c r="C136" s="568">
        <v>3</v>
      </c>
      <c r="D136" s="568"/>
    </row>
    <row r="137" spans="1:4" hidden="1">
      <c r="A137" s="30"/>
      <c r="B137" s="568" t="s">
        <v>476</v>
      </c>
      <c r="C137" s="568">
        <v>5</v>
      </c>
      <c r="D137" s="568"/>
    </row>
    <row r="138" spans="1:4" hidden="1">
      <c r="A138" s="30"/>
      <c r="B138" s="568"/>
      <c r="C138" s="568"/>
      <c r="D138" s="568"/>
    </row>
    <row r="139" spans="1:4" hidden="1">
      <c r="A139" s="27" t="s">
        <v>557</v>
      </c>
      <c r="B139" s="568"/>
      <c r="C139" s="568"/>
      <c r="D139" s="568"/>
    </row>
    <row r="140" spans="1:4" hidden="1">
      <c r="A140" s="29"/>
      <c r="B140" s="568"/>
      <c r="C140" s="568"/>
      <c r="D140" s="568"/>
    </row>
    <row r="141" spans="1:4" hidden="1">
      <c r="A141" s="30"/>
      <c r="B141" s="568"/>
      <c r="C141" s="568"/>
      <c r="D141" s="568"/>
    </row>
    <row r="142" spans="1:4" hidden="1">
      <c r="A142" s="30"/>
      <c r="B142" s="568"/>
      <c r="C142" s="568"/>
      <c r="D142" s="568"/>
    </row>
    <row r="143" spans="1:4" hidden="1">
      <c r="A143" s="30"/>
      <c r="B143" s="568"/>
      <c r="C143" s="568"/>
      <c r="D143" s="568"/>
    </row>
    <row r="144" spans="1:4" hidden="1">
      <c r="A144" s="30"/>
      <c r="B144" s="568"/>
      <c r="C144" s="568"/>
      <c r="D144" s="568" t="s">
        <v>1201</v>
      </c>
    </row>
    <row r="145" spans="1:4" ht="39" hidden="1">
      <c r="A145" s="29" t="s">
        <v>517</v>
      </c>
      <c r="B145" s="568"/>
      <c r="C145" s="568"/>
      <c r="D145" s="568"/>
    </row>
    <row r="146" spans="1:4" hidden="1">
      <c r="A146" s="30"/>
      <c r="B146" s="568" t="s">
        <v>366</v>
      </c>
      <c r="C146" s="568">
        <v>5</v>
      </c>
      <c r="D146" s="568"/>
    </row>
    <row r="147" spans="1:4" hidden="1">
      <c r="A147" s="30"/>
      <c r="B147" s="568" t="s">
        <v>379</v>
      </c>
      <c r="C147" s="568">
        <v>4</v>
      </c>
      <c r="D147" s="568"/>
    </row>
    <row r="148" spans="1:4" hidden="1">
      <c r="A148" s="30"/>
      <c r="B148" s="568" t="s">
        <v>367</v>
      </c>
      <c r="C148" s="568">
        <v>3</v>
      </c>
      <c r="D148" s="568"/>
    </row>
    <row r="149" spans="1:4" hidden="1">
      <c r="A149" s="30"/>
      <c r="B149" s="568" t="s">
        <v>380</v>
      </c>
      <c r="C149" s="568">
        <v>2</v>
      </c>
      <c r="D149" s="568"/>
    </row>
    <row r="150" spans="1:4" hidden="1">
      <c r="A150" s="30"/>
      <c r="B150" s="568" t="s">
        <v>516</v>
      </c>
      <c r="C150" s="568">
        <v>1</v>
      </c>
      <c r="D150" s="568"/>
    </row>
    <row r="151" spans="1:4" ht="39" hidden="1">
      <c r="A151" s="29" t="s">
        <v>365</v>
      </c>
      <c r="B151" s="568"/>
      <c r="C151" s="568"/>
      <c r="D151" s="568"/>
    </row>
    <row r="152" spans="1:4" hidden="1">
      <c r="A152" s="30"/>
      <c r="B152" s="568" t="s">
        <v>368</v>
      </c>
      <c r="C152" s="568">
        <v>5</v>
      </c>
      <c r="D152" s="568"/>
    </row>
    <row r="153" spans="1:4" hidden="1">
      <c r="A153" s="30"/>
      <c r="B153" s="568" t="s">
        <v>369</v>
      </c>
      <c r="C153" s="568">
        <v>4</v>
      </c>
      <c r="D153" s="568"/>
    </row>
    <row r="154" spans="1:4" hidden="1">
      <c r="A154" s="30"/>
      <c r="B154" s="568" t="s">
        <v>370</v>
      </c>
      <c r="C154" s="568">
        <v>3</v>
      </c>
      <c r="D154" s="568"/>
    </row>
    <row r="155" spans="1:4" hidden="1">
      <c r="A155" s="30"/>
      <c r="B155" s="568" t="s">
        <v>371</v>
      </c>
      <c r="C155" s="568">
        <v>2</v>
      </c>
      <c r="D155" s="568"/>
    </row>
    <row r="156" spans="1:4" hidden="1">
      <c r="A156" s="30"/>
      <c r="B156" s="568" t="s">
        <v>381</v>
      </c>
      <c r="C156" s="568">
        <v>1</v>
      </c>
      <c r="D156" s="568"/>
    </row>
    <row r="157" spans="1:4" ht="26.25" hidden="1">
      <c r="A157" s="29" t="s">
        <v>479</v>
      </c>
      <c r="B157" s="568"/>
      <c r="C157" s="568"/>
      <c r="D157" s="568"/>
    </row>
    <row r="158" spans="1:4" hidden="1">
      <c r="A158" s="30"/>
      <c r="B158" s="568" t="s">
        <v>386</v>
      </c>
      <c r="C158" s="568">
        <v>5</v>
      </c>
      <c r="D158" s="568"/>
    </row>
    <row r="159" spans="1:4" hidden="1">
      <c r="A159" s="30"/>
      <c r="B159" s="568" t="s">
        <v>387</v>
      </c>
      <c r="C159" s="568">
        <v>3</v>
      </c>
      <c r="D159" s="568"/>
    </row>
    <row r="160" spans="1:4" hidden="1">
      <c r="A160" s="30"/>
      <c r="B160" s="568" t="s">
        <v>388</v>
      </c>
      <c r="C160" s="568">
        <v>1</v>
      </c>
      <c r="D160" s="568"/>
    </row>
    <row r="161" spans="1:4" hidden="1">
      <c r="A161" s="27" t="s">
        <v>372</v>
      </c>
      <c r="B161" s="568"/>
      <c r="C161" s="568"/>
      <c r="D161" s="568"/>
    </row>
    <row r="162" spans="1:4" ht="39" hidden="1">
      <c r="A162" s="29" t="s">
        <v>1538</v>
      </c>
      <c r="B162" s="568" t="s">
        <v>1539</v>
      </c>
      <c r="C162" s="568">
        <v>1</v>
      </c>
      <c r="D162" s="568"/>
    </row>
    <row r="163" spans="1:4" hidden="1">
      <c r="A163" s="29"/>
      <c r="B163" s="568" t="s">
        <v>1540</v>
      </c>
      <c r="C163" s="568">
        <v>3</v>
      </c>
      <c r="D163" s="568"/>
    </row>
    <row r="164" spans="1:4" hidden="1">
      <c r="A164" s="29"/>
      <c r="B164" s="568" t="s">
        <v>1541</v>
      </c>
      <c r="C164" s="568">
        <v>4</v>
      </c>
      <c r="D164" s="568"/>
    </row>
    <row r="165" spans="1:4" hidden="1">
      <c r="A165" s="29"/>
      <c r="B165" s="568" t="s">
        <v>1542</v>
      </c>
      <c r="C165" s="568">
        <v>5</v>
      </c>
      <c r="D165" s="568"/>
    </row>
    <row r="166" spans="1:4" hidden="1">
      <c r="A166" s="29" t="s">
        <v>375</v>
      </c>
      <c r="B166" s="568"/>
      <c r="C166" s="568"/>
      <c r="D166" s="568"/>
    </row>
    <row r="167" spans="1:4" hidden="1">
      <c r="A167" s="29"/>
      <c r="B167" s="568" t="s">
        <v>389</v>
      </c>
      <c r="C167" s="568">
        <v>1</v>
      </c>
      <c r="D167" s="568"/>
    </row>
    <row r="168" spans="1:4" hidden="1">
      <c r="A168" s="29"/>
      <c r="B168" s="568" t="s">
        <v>533</v>
      </c>
      <c r="C168" s="568">
        <v>3</v>
      </c>
      <c r="D168" s="568"/>
    </row>
    <row r="169" spans="1:4" hidden="1">
      <c r="A169" s="29"/>
      <c r="B169" s="568" t="s">
        <v>534</v>
      </c>
      <c r="C169" s="568">
        <v>5</v>
      </c>
      <c r="D169" s="568"/>
    </row>
    <row r="170" spans="1:4" hidden="1">
      <c r="A170" s="29" t="s">
        <v>376</v>
      </c>
      <c r="B170" s="568" t="s">
        <v>36</v>
      </c>
      <c r="C170" s="568">
        <v>3</v>
      </c>
      <c r="D170" s="568"/>
    </row>
    <row r="171" spans="1:4" hidden="1">
      <c r="A171" s="29"/>
      <c r="B171" s="568" t="s">
        <v>37</v>
      </c>
      <c r="C171" s="568">
        <v>1</v>
      </c>
      <c r="D171" s="568"/>
    </row>
    <row r="172" spans="1:4" hidden="1">
      <c r="A172" s="29" t="s">
        <v>597</v>
      </c>
      <c r="B172" s="568"/>
      <c r="C172" s="568"/>
      <c r="D172" s="568" t="s">
        <v>1201</v>
      </c>
    </row>
    <row r="173" spans="1:4" hidden="1">
      <c r="A173" s="29"/>
      <c r="B173" s="568" t="s">
        <v>36</v>
      </c>
      <c r="C173" s="568">
        <v>5</v>
      </c>
      <c r="D173" s="568"/>
    </row>
    <row r="174" spans="1:4" hidden="1">
      <c r="A174" s="29"/>
      <c r="B174" s="568" t="s">
        <v>37</v>
      </c>
      <c r="C174" s="568">
        <v>1</v>
      </c>
      <c r="D174" s="568"/>
    </row>
    <row r="175" spans="1:4" hidden="1">
      <c r="A175" s="27" t="s">
        <v>459</v>
      </c>
      <c r="B175" s="568"/>
      <c r="C175" s="568"/>
      <c r="D175" s="568"/>
    </row>
    <row r="176" spans="1:4" hidden="1">
      <c r="A176" s="29" t="s">
        <v>464</v>
      </c>
      <c r="B176" s="568" t="s">
        <v>463</v>
      </c>
      <c r="C176" s="568">
        <v>5</v>
      </c>
      <c r="D176" s="568"/>
    </row>
    <row r="177" spans="1:4" hidden="1">
      <c r="A177" s="29"/>
      <c r="B177" s="568" t="s">
        <v>465</v>
      </c>
      <c r="C177" s="568">
        <v>3</v>
      </c>
      <c r="D177" s="568"/>
    </row>
    <row r="178" spans="1:4" hidden="1">
      <c r="A178" s="29"/>
      <c r="B178" s="568" t="s">
        <v>466</v>
      </c>
      <c r="C178" s="568">
        <v>1</v>
      </c>
      <c r="D178" s="568"/>
    </row>
    <row r="179" spans="1:4" hidden="1">
      <c r="A179" s="29" t="s">
        <v>462</v>
      </c>
      <c r="B179" s="568"/>
      <c r="C179" s="568"/>
      <c r="D179" s="568"/>
    </row>
    <row r="180" spans="1:4" hidden="1">
      <c r="A180" s="29"/>
      <c r="B180" s="568" t="s">
        <v>461</v>
      </c>
      <c r="C180" s="568">
        <v>5</v>
      </c>
      <c r="D180" s="568"/>
    </row>
    <row r="181" spans="1:4" hidden="1">
      <c r="A181" s="29"/>
      <c r="B181" s="568" t="s">
        <v>467</v>
      </c>
      <c r="C181" s="568">
        <v>4</v>
      </c>
      <c r="D181" s="568"/>
    </row>
    <row r="182" spans="1:4" hidden="1">
      <c r="A182" s="29"/>
      <c r="B182" s="568" t="s">
        <v>468</v>
      </c>
      <c r="C182" s="568">
        <v>3</v>
      </c>
      <c r="D182" s="568"/>
    </row>
    <row r="183" spans="1:4" hidden="1">
      <c r="A183" s="29"/>
      <c r="B183" s="568" t="s">
        <v>469</v>
      </c>
      <c r="C183" s="568">
        <v>1</v>
      </c>
      <c r="D183" s="568"/>
    </row>
    <row r="184" spans="1:4" hidden="1">
      <c r="A184" s="29"/>
      <c r="B184" s="568"/>
      <c r="C184" s="568"/>
      <c r="D184" s="568"/>
    </row>
    <row r="185" spans="1:4" hidden="1"/>
    <row r="186" spans="1:4" hidden="1"/>
    <row r="187" spans="1:4" hidden="1">
      <c r="A187" s="27" t="s">
        <v>1303</v>
      </c>
      <c r="B187" s="526"/>
    </row>
    <row r="188" spans="1:4" ht="17.25" hidden="1">
      <c r="A188" s="40" t="s">
        <v>273</v>
      </c>
      <c r="B188" s="527" t="s">
        <v>337</v>
      </c>
    </row>
    <row r="189" spans="1:4" hidden="1">
      <c r="A189" s="29" t="s">
        <v>338</v>
      </c>
      <c r="B189" s="526">
        <v>1.1000000000000001</v>
      </c>
    </row>
    <row r="190" spans="1:4" hidden="1">
      <c r="A190" s="29" t="s">
        <v>339</v>
      </c>
      <c r="B190" s="526">
        <v>1.9</v>
      </c>
    </row>
    <row r="191" spans="1:4" hidden="1">
      <c r="A191" s="29" t="s">
        <v>340</v>
      </c>
      <c r="B191" s="526">
        <v>3</v>
      </c>
    </row>
    <row r="192" spans="1:4" hidden="1">
      <c r="A192" s="29" t="s">
        <v>341</v>
      </c>
      <c r="B192" s="526">
        <v>3.7</v>
      </c>
    </row>
    <row r="193" spans="1:4" hidden="1">
      <c r="A193" s="29" t="s">
        <v>325</v>
      </c>
      <c r="B193" s="526">
        <v>4.5</v>
      </c>
    </row>
    <row r="194" spans="1:4" hidden="1">
      <c r="A194" s="29" t="s">
        <v>342</v>
      </c>
      <c r="B194" s="526">
        <v>2.5</v>
      </c>
    </row>
    <row r="195" spans="1:4" hidden="1">
      <c r="A195" s="29" t="s">
        <v>343</v>
      </c>
      <c r="B195" s="526">
        <v>0.5</v>
      </c>
    </row>
    <row r="196" spans="1:4" hidden="1">
      <c r="A196" s="29" t="s">
        <v>344</v>
      </c>
      <c r="B196" s="526">
        <v>2.5</v>
      </c>
    </row>
    <row r="197" spans="1:4" hidden="1">
      <c r="A197" s="29" t="s">
        <v>345</v>
      </c>
      <c r="B197" s="526">
        <v>1</v>
      </c>
    </row>
    <row r="198" spans="1:4" hidden="1">
      <c r="A198" s="29" t="s">
        <v>346</v>
      </c>
      <c r="B198" s="526">
        <v>4</v>
      </c>
    </row>
    <row r="199" spans="1:4" hidden="1">
      <c r="A199" s="29" t="s">
        <v>347</v>
      </c>
      <c r="B199" s="526">
        <v>4</v>
      </c>
    </row>
    <row r="200" spans="1:4" hidden="1"/>
    <row r="201" spans="1:4" hidden="1">
      <c r="A201" s="7"/>
      <c r="B201" s="772"/>
      <c r="C201" s="772"/>
      <c r="D201" s="772"/>
    </row>
    <row r="202" spans="1:4" hidden="1"/>
    <row r="203" spans="1:4" hidden="1">
      <c r="B203" s="567" t="s">
        <v>259</v>
      </c>
    </row>
    <row r="204" spans="1:4" hidden="1">
      <c r="B204" s="567" t="s">
        <v>518</v>
      </c>
    </row>
    <row r="205" spans="1:4" hidden="1">
      <c r="B205" s="567" t="s">
        <v>260</v>
      </c>
    </row>
    <row r="206" spans="1:4" hidden="1"/>
  </sheetData>
  <sheetProtection algorithmName="SHA-512" hashValue="+MdZoiAqeGD1SNqPUrV2nF8BBRtwOPxDl7QcZf1bqAgGHWx2mQNa6imDL+N4elIpCBy2tzeTdYUhhgwZ0sZUng==" saltValue="Je7VlWBijKSQSqvLATVYaw==" spinCount="100000" sheet="1" objects="1" scenarios="1"/>
  <customSheetViews>
    <customSheetView guid="{7EE74243-CD96-4613-8F82-08E917A91D99}">
      <selection activeCell="O3" sqref="O3"/>
      <pageMargins left="0.7" right="0.7" top="0.75" bottom="0.75" header="0.3" footer="0.3"/>
      <pageSetup paperSize="9" orientation="portrait" r:id="rId1"/>
    </customSheetView>
    <customSheetView guid="{77787C9C-D755-4D99-8252-290109F2917C}">
      <selection activeCell="A11" sqref="A11"/>
      <pageMargins left="0.7" right="0.7" top="0.75" bottom="0.75" header="0.3" footer="0.3"/>
      <pageSetup paperSize="9" orientation="portrait" r:id="rId2"/>
    </customSheetView>
  </customSheetViews>
  <mergeCells count="10">
    <mergeCell ref="D127:D130"/>
    <mergeCell ref="H16:K16"/>
    <mergeCell ref="H15:K15"/>
    <mergeCell ref="H14:K14"/>
    <mergeCell ref="H13:K13"/>
    <mergeCell ref="H12:K12"/>
    <mergeCell ref="H11:K11"/>
    <mergeCell ref="D103:D108"/>
    <mergeCell ref="D120:D125"/>
    <mergeCell ref="A13:B13"/>
  </mergeCells>
  <dataValidations count="20">
    <dataValidation type="list" allowBlank="1" showInputMessage="1" showErrorMessage="1" sqref="B40" xr:uid="{00000000-0002-0000-0C00-000000000000}">
      <formula1>$B$120:$B$125</formula1>
    </dataValidation>
    <dataValidation type="list" allowBlank="1" showInputMessage="1" showErrorMessage="1" sqref="B52" xr:uid="{00000000-0002-0000-0C00-000002000000}">
      <formula1>$B$162:$B$165</formula1>
    </dataValidation>
    <dataValidation type="list" allowBlank="1" showInputMessage="1" showErrorMessage="1" sqref="B44" xr:uid="{00000000-0002-0000-0C00-000003000000}">
      <formula1>$B$145:$B$150</formula1>
    </dataValidation>
    <dataValidation type="list" allowBlank="1" showInputMessage="1" showErrorMessage="1" sqref="B45" xr:uid="{00000000-0002-0000-0C00-000004000000}">
      <formula1>$B$151:$B$156</formula1>
    </dataValidation>
    <dataValidation type="list" allowBlank="1" showInputMessage="1" showErrorMessage="1" sqref="B53" xr:uid="{00000000-0002-0000-0C00-000005000000}">
      <formula1>$B$167:$B$169</formula1>
    </dataValidation>
    <dataValidation type="list" allowBlank="1" showInputMessage="1" showErrorMessage="1" sqref="B54:B55" xr:uid="{00000000-0002-0000-0C00-000006000000}">
      <formula1>$B$170:$B$171</formula1>
    </dataValidation>
    <dataValidation type="list" allowBlank="1" showInputMessage="1" showErrorMessage="1" sqref="B47:B49" xr:uid="{00000000-0002-0000-0C00-000007000000}">
      <formula1>$B$157:$B$160</formula1>
    </dataValidation>
    <dataValidation type="list" allowBlank="1" showInputMessage="1" showErrorMessage="1" sqref="B59" xr:uid="{00000000-0002-0000-0C00-000008000000}">
      <formula1>$B$179:$B$183</formula1>
    </dataValidation>
    <dataValidation type="list" allowBlank="1" showInputMessage="1" showErrorMessage="1" sqref="B58" xr:uid="{00000000-0002-0000-0C00-000009000000}">
      <formula1>$B$176:$B$179</formula1>
    </dataValidation>
    <dataValidation type="list" allowBlank="1" showInputMessage="1" showErrorMessage="1" sqref="B39" xr:uid="{00000000-0002-0000-0C00-00000A000000}">
      <formula1>$B$135:$B$137</formula1>
    </dataValidation>
    <dataValidation type="list" allowBlank="1" showInputMessage="1" showErrorMessage="1" sqref="B38" xr:uid="{00000000-0002-0000-0C00-00000B000000}">
      <formula1>$B$126:$B$131</formula1>
    </dataValidation>
    <dataValidation type="list" allowBlank="1" showInputMessage="1" showErrorMessage="1" sqref="B35" xr:uid="{00000000-0002-0000-0C00-00000C000000}">
      <formula1>$B$109:$B$112</formula1>
    </dataValidation>
    <dataValidation type="list" allowBlank="1" showInputMessage="1" showErrorMessage="1" sqref="B36" xr:uid="{00000000-0002-0000-0C00-00000D000000}">
      <formula1>$B$113:$B$116</formula1>
    </dataValidation>
    <dataValidation type="list" allowBlank="1" showInputMessage="1" showErrorMessage="1" sqref="B37" xr:uid="{00000000-0002-0000-0C00-00000E000000}">
      <formula1>$B$116:$B$119</formula1>
    </dataValidation>
    <dataValidation type="list" allowBlank="1" showInputMessage="1" showErrorMessage="1" sqref="B27:B32" xr:uid="{00000000-0002-0000-0C00-00000F000000}">
      <formula1>$B$92:$B$94</formula1>
    </dataValidation>
    <dataValidation type="list" allowBlank="1" showInputMessage="1" showErrorMessage="1" sqref="B20" xr:uid="{00000000-0002-0000-0C00-000010000000}">
      <formula1>$B$73:$B$78</formula1>
    </dataValidation>
    <dataValidation type="list" allowBlank="1" showInputMessage="1" showErrorMessage="1" sqref="B25" xr:uid="{00000000-0002-0000-0C00-000011000000}">
      <formula1>$B$87:$B$90</formula1>
    </dataValidation>
    <dataValidation type="list" allowBlank="1" showInputMessage="1" showErrorMessage="1" sqref="B24" xr:uid="{00000000-0002-0000-0C00-000012000000}">
      <formula1>$B$83:$B$85</formula1>
    </dataValidation>
    <dataValidation type="list" allowBlank="1" showInputMessage="1" showErrorMessage="1" sqref="B21" xr:uid="{00000000-0002-0000-0C00-000013000000}">
      <formula1>$B$79:$B$82</formula1>
    </dataValidation>
    <dataValidation type="list" allowBlank="1" showInputMessage="1" showErrorMessage="1" sqref="B11" xr:uid="{00000000-0002-0000-0C00-000014000000}">
      <formula1>$B$204:$B$205</formula1>
    </dataValidation>
  </dataValidations>
  <pageMargins left="0.7" right="0.7" top="0.75" bottom="0.75" header="0.3" footer="0.3"/>
  <pageSetup paperSize="9" orientation="portrait" r:id="rId3"/>
  <ignoredErrors>
    <ignoredError sqref="D14:D15 D16:D19" evalError="1"/>
  </ignoredErrors>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7:M93"/>
  <sheetViews>
    <sheetView showGridLines="0" zoomScaleNormal="100" workbookViewId="0">
      <selection activeCell="B10" sqref="B10"/>
    </sheetView>
  </sheetViews>
  <sheetFormatPr defaultRowHeight="15"/>
  <cols>
    <col min="1" max="1" width="60.28515625" customWidth="1"/>
    <col min="2" max="2" width="40.5703125" customWidth="1"/>
    <col min="3" max="3" width="18.28515625" customWidth="1"/>
    <col min="4" max="4" width="8.7109375" customWidth="1"/>
    <col min="5" max="5" width="10.140625" bestFit="1" customWidth="1"/>
    <col min="6" max="6" width="13.42578125" customWidth="1"/>
    <col min="8" max="8" width="20.28515625" customWidth="1"/>
    <col min="9" max="9" width="10.5703125" bestFit="1" customWidth="1"/>
    <col min="12" max="12" width="27.7109375" customWidth="1"/>
    <col min="13" max="13" width="13.42578125" customWidth="1"/>
  </cols>
  <sheetData>
    <row r="7" spans="1:13" ht="15.75" thickBot="1"/>
    <row r="8" spans="1:13" ht="15.75" thickBot="1">
      <c r="A8" s="627" t="s">
        <v>1432</v>
      </c>
      <c r="B8" s="495" t="s">
        <v>1666</v>
      </c>
      <c r="C8" s="393"/>
      <c r="D8" s="393"/>
      <c r="E8" s="393"/>
      <c r="F8" s="984" t="s">
        <v>0</v>
      </c>
      <c r="H8" s="373" t="str">
        <f>A8</f>
        <v>Governance</v>
      </c>
      <c r="I8" s="393"/>
      <c r="J8" s="393"/>
      <c r="K8" s="393"/>
      <c r="L8" s="393"/>
      <c r="M8" s="596"/>
    </row>
    <row r="9" spans="1:13" ht="18.75" customHeight="1">
      <c r="A9" s="510" t="s">
        <v>1433</v>
      </c>
      <c r="B9" s="781"/>
      <c r="C9" s="782"/>
      <c r="D9" s="782"/>
      <c r="E9" s="782"/>
      <c r="F9" s="987"/>
      <c r="H9" s="988" t="s">
        <v>220</v>
      </c>
      <c r="I9" s="1092" t="s">
        <v>221</v>
      </c>
      <c r="J9" s="1092"/>
      <c r="K9" s="1092"/>
      <c r="L9" s="1092"/>
      <c r="M9" s="931" t="s">
        <v>0</v>
      </c>
    </row>
    <row r="10" spans="1:13" ht="76.5" customHeight="1">
      <c r="A10" s="542" t="s">
        <v>1435</v>
      </c>
      <c r="B10" s="574" t="s">
        <v>1454</v>
      </c>
      <c r="C10" s="621"/>
      <c r="D10" s="621"/>
      <c r="E10" s="621"/>
      <c r="F10" s="926">
        <f>IF(B10=B41,1,IF(B10=B40,2,IF(B10=B39,3,IF(B10=B38,4,IF(B10=B37,5,"invalid data")))))</f>
        <v>1</v>
      </c>
      <c r="H10" s="954" t="s">
        <v>1433</v>
      </c>
      <c r="I10" s="1053" t="s">
        <v>1434</v>
      </c>
      <c r="J10" s="1053"/>
      <c r="K10" s="1053"/>
      <c r="L10" s="1053"/>
      <c r="M10" s="963">
        <f>F12</f>
        <v>1</v>
      </c>
    </row>
    <row r="11" spans="1:13" ht="25.5">
      <c r="A11" s="542" t="s">
        <v>1499</v>
      </c>
      <c r="B11" s="699" t="s">
        <v>72</v>
      </c>
      <c r="C11" s="621"/>
      <c r="D11" s="621"/>
      <c r="E11" s="621"/>
      <c r="F11" s="926" t="str">
        <f>IF(B11=B46,1,IF(B11=B45,2,IF(B11=B44,4,IF(B11=B43,5,"N/A"))))</f>
        <v>N/A</v>
      </c>
      <c r="H11" s="954" t="s">
        <v>1437</v>
      </c>
      <c r="I11" s="1053" t="s">
        <v>1438</v>
      </c>
      <c r="J11" s="1053"/>
      <c r="K11" s="1053"/>
      <c r="L11" s="1053"/>
      <c r="M11" s="951">
        <f>F16</f>
        <v>1</v>
      </c>
    </row>
    <row r="12" spans="1:13" ht="57" customHeight="1">
      <c r="A12" s="777"/>
      <c r="B12" s="735"/>
      <c r="C12" s="709"/>
      <c r="D12" s="709"/>
      <c r="E12" s="709"/>
      <c r="F12" s="932">
        <f>AVERAGE(F10:F11)</f>
        <v>1</v>
      </c>
      <c r="H12" s="954" t="s">
        <v>1439</v>
      </c>
      <c r="I12" s="1053" t="s">
        <v>1816</v>
      </c>
      <c r="J12" s="1053"/>
      <c r="K12" s="1053"/>
      <c r="L12" s="1053"/>
      <c r="M12" s="951">
        <f>F20</f>
        <v>1</v>
      </c>
    </row>
    <row r="13" spans="1:13" ht="35.25" customHeight="1">
      <c r="A13" s="737" t="s">
        <v>1437</v>
      </c>
      <c r="B13" s="732"/>
      <c r="C13" s="710"/>
      <c r="D13" s="710"/>
      <c r="E13" s="710"/>
      <c r="F13" s="929"/>
      <c r="H13" s="954" t="s">
        <v>1440</v>
      </c>
      <c r="I13" s="1053" t="s">
        <v>1441</v>
      </c>
      <c r="J13" s="1053"/>
      <c r="K13" s="1053"/>
      <c r="L13" s="1053"/>
      <c r="M13" s="951">
        <f>F26</f>
        <v>1</v>
      </c>
    </row>
    <row r="14" spans="1:13" ht="52.5" customHeight="1" thickBot="1">
      <c r="A14" s="542" t="s">
        <v>1444</v>
      </c>
      <c r="B14" s="699" t="s">
        <v>1458</v>
      </c>
      <c r="C14" s="621"/>
      <c r="D14" s="621"/>
      <c r="E14" s="621"/>
      <c r="F14" s="926">
        <f>IF(B14=B52,1,IF(B14=B51,2,IF(B14=B50,4,IF(B14=B49,5,"invalid data"))))</f>
        <v>1</v>
      </c>
      <c r="H14" s="989" t="s">
        <v>1442</v>
      </c>
      <c r="I14" s="1055" t="s">
        <v>1443</v>
      </c>
      <c r="J14" s="1055"/>
      <c r="K14" s="1055"/>
      <c r="L14" s="1055"/>
      <c r="M14" s="960" t="str">
        <f>F29</f>
        <v>N/A</v>
      </c>
    </row>
    <row r="15" spans="1:13" ht="50.25" customHeight="1" thickBot="1">
      <c r="A15" s="542" t="s">
        <v>1468</v>
      </c>
      <c r="B15" s="699" t="s">
        <v>1473</v>
      </c>
      <c r="C15" s="621"/>
      <c r="D15" s="621"/>
      <c r="E15" s="621"/>
      <c r="F15" s="926">
        <f>IF(B15=B59,1,IF(B15=B58,2,IF(B15=B57,3,IF(B15=B56,4,IF(B15=B55,5,"invalid data")))))</f>
        <v>1</v>
      </c>
      <c r="K15" s="1090" t="s">
        <v>1673</v>
      </c>
      <c r="L15" s="1091"/>
      <c r="M15" s="693">
        <f>F30</f>
        <v>1</v>
      </c>
    </row>
    <row r="16" spans="1:13">
      <c r="A16" s="777"/>
      <c r="B16" s="735"/>
      <c r="C16" s="709"/>
      <c r="D16" s="709"/>
      <c r="E16" s="709"/>
      <c r="F16" s="932">
        <f>AVERAGE(F14:F15)</f>
        <v>1</v>
      </c>
      <c r="I16" s="53"/>
      <c r="J16" s="53"/>
    </row>
    <row r="17" spans="1:10">
      <c r="A17" s="783"/>
      <c r="B17" s="732"/>
      <c r="C17" s="710"/>
      <c r="D17" s="710"/>
      <c r="E17" s="710"/>
      <c r="F17" s="929"/>
      <c r="I17" s="53"/>
      <c r="J17" s="53"/>
    </row>
    <row r="18" spans="1:10">
      <c r="A18" s="628" t="s">
        <v>1439</v>
      </c>
      <c r="B18" s="526"/>
      <c r="C18" s="621"/>
      <c r="D18" s="621"/>
      <c r="E18" s="621"/>
      <c r="F18" s="926"/>
      <c r="I18" s="53"/>
      <c r="J18" s="53"/>
    </row>
    <row r="19" spans="1:10">
      <c r="A19" s="776"/>
      <c r="B19" s="526"/>
      <c r="C19" s="621"/>
      <c r="D19" s="621"/>
      <c r="E19" s="621"/>
      <c r="F19" s="926"/>
      <c r="I19" s="53"/>
      <c r="J19" s="53"/>
    </row>
    <row r="20" spans="1:10" ht="69.75" customHeight="1">
      <c r="A20" s="738" t="s">
        <v>1672</v>
      </c>
      <c r="B20" s="900" t="s">
        <v>1462</v>
      </c>
      <c r="C20" s="709"/>
      <c r="D20" s="709"/>
      <c r="E20" s="709"/>
      <c r="F20" s="932">
        <f>IF(B20=B68,1,IF(B20=B67,2,IF(B20=B66,3,IF(B20=B65,4,IF(B20=B64,5,"invalid data")))))</f>
        <v>1</v>
      </c>
      <c r="I20" s="53"/>
      <c r="J20" s="53"/>
    </row>
    <row r="21" spans="1:10">
      <c r="A21" s="778"/>
      <c r="B21" s="732"/>
      <c r="C21" s="710"/>
      <c r="D21" s="710"/>
      <c r="E21" s="710"/>
      <c r="F21" s="929"/>
      <c r="I21" s="53"/>
      <c r="J21" s="53"/>
    </row>
    <row r="22" spans="1:10">
      <c r="A22" s="628" t="s">
        <v>1440</v>
      </c>
      <c r="B22" s="526"/>
      <c r="C22" s="621"/>
      <c r="D22" s="621"/>
      <c r="E22" s="621"/>
      <c r="F22" s="926"/>
      <c r="I22" s="53"/>
      <c r="J22" s="53"/>
    </row>
    <row r="23" spans="1:10">
      <c r="A23" s="776"/>
      <c r="B23" s="526"/>
      <c r="C23" s="621"/>
      <c r="D23" s="621"/>
      <c r="E23" s="621"/>
      <c r="F23" s="926"/>
      <c r="I23" s="53"/>
      <c r="J23" s="53"/>
    </row>
    <row r="24" spans="1:10" ht="51">
      <c r="A24" s="542" t="s">
        <v>1447</v>
      </c>
      <c r="B24" s="699" t="s">
        <v>1448</v>
      </c>
      <c r="C24" s="621"/>
      <c r="D24" s="621"/>
      <c r="E24" s="621"/>
      <c r="F24" s="926">
        <f>IF(B24=B76,1,IF(B24=B75,2,IF(B24=B74,4,IF(B24=B73,5,"invalid data"))))</f>
        <v>1</v>
      </c>
      <c r="I24" s="53"/>
      <c r="J24" s="53"/>
    </row>
    <row r="25" spans="1:10" ht="25.5">
      <c r="A25" s="542" t="s">
        <v>1474</v>
      </c>
      <c r="B25" s="574" t="s">
        <v>72</v>
      </c>
      <c r="C25" s="621"/>
      <c r="D25" s="621"/>
      <c r="E25" s="621"/>
      <c r="F25" s="926" t="str">
        <f>IF(B25=B81,1,IF(B25=B80,2,IF(B25=B79,3,IF(B25=B78,5,"N/A"))))</f>
        <v>N/A</v>
      </c>
      <c r="I25" s="53"/>
      <c r="J25" s="53"/>
    </row>
    <row r="26" spans="1:10">
      <c r="A26" s="777"/>
      <c r="B26" s="735"/>
      <c r="C26" s="709"/>
      <c r="D26" s="709"/>
      <c r="E26" s="709"/>
      <c r="F26" s="932">
        <f>AVERAGE(F24:F25)</f>
        <v>1</v>
      </c>
      <c r="I26" s="53"/>
      <c r="J26" s="53"/>
    </row>
    <row r="27" spans="1:10">
      <c r="A27" s="737" t="s">
        <v>1442</v>
      </c>
      <c r="B27" s="732"/>
      <c r="C27" s="710"/>
      <c r="D27" s="710"/>
      <c r="E27" s="710"/>
      <c r="F27" s="929"/>
      <c r="I27" s="53"/>
      <c r="J27" s="53"/>
    </row>
    <row r="28" spans="1:10">
      <c r="A28" s="628"/>
      <c r="B28" s="526"/>
      <c r="C28" s="621"/>
      <c r="D28" s="621"/>
      <c r="E28" s="621"/>
      <c r="F28" s="926"/>
      <c r="I28" s="53"/>
      <c r="J28" s="53"/>
    </row>
    <row r="29" spans="1:10" ht="39" thickBot="1">
      <c r="A29" s="629" t="s">
        <v>1449</v>
      </c>
      <c r="B29" s="901" t="s">
        <v>72</v>
      </c>
      <c r="C29" s="673"/>
      <c r="D29" s="673"/>
      <c r="E29" s="673"/>
      <c r="F29" s="933" t="str">
        <f>IF(B29=B89,1,IF(B29=B88,3,IF(B29=B87,5,"N/A")))</f>
        <v>N/A</v>
      </c>
      <c r="I29" s="53"/>
      <c r="J29" s="53"/>
    </row>
    <row r="30" spans="1:10" ht="24" customHeight="1" thickBot="1">
      <c r="B30" s="54"/>
      <c r="D30" s="1088" t="s">
        <v>1673</v>
      </c>
      <c r="E30" s="1089"/>
      <c r="F30" s="626">
        <f>AVERAGE(F12,F16,F20,F26,F29)</f>
        <v>1</v>
      </c>
      <c r="I30" s="53"/>
      <c r="J30" s="53"/>
    </row>
    <row r="31" spans="1:10" ht="35.25" customHeight="1">
      <c r="I31" s="53"/>
      <c r="J31" s="53"/>
    </row>
    <row r="32" spans="1:10" hidden="1">
      <c r="I32" s="53"/>
      <c r="J32" s="53"/>
    </row>
    <row r="33" spans="1:10" hidden="1">
      <c r="I33" s="53"/>
      <c r="J33" s="53"/>
    </row>
    <row r="34" spans="1:10" hidden="1">
      <c r="A34" s="4"/>
      <c r="B34" s="4" t="s">
        <v>182</v>
      </c>
      <c r="C34" s="4"/>
      <c r="D34" s="4" t="s">
        <v>1194</v>
      </c>
      <c r="I34" s="53"/>
      <c r="J34" s="53"/>
    </row>
    <row r="35" spans="1:10" hidden="1">
      <c r="A35" s="30"/>
      <c r="B35" s="1"/>
      <c r="C35" s="1"/>
      <c r="D35" s="1"/>
      <c r="I35" s="53"/>
      <c r="J35" s="53"/>
    </row>
    <row r="36" spans="1:10" hidden="1">
      <c r="A36" s="27" t="s">
        <v>1433</v>
      </c>
      <c r="B36" s="1"/>
      <c r="C36" s="1"/>
      <c r="D36" s="1"/>
      <c r="I36" s="53"/>
      <c r="J36" s="53"/>
    </row>
    <row r="37" spans="1:10" ht="64.5" hidden="1">
      <c r="A37" s="30" t="str">
        <f>A10</f>
        <v xml:space="preserve">When making farm management decisions, do you take account of the effects they are having outside the farm boundary? For example, the environmental performace of your suppliers, the impact of your water use/management on others or the social impacts of your practices in terms of noise, pollution and community life? </v>
      </c>
      <c r="B37" s="1" t="s">
        <v>1436</v>
      </c>
      <c r="C37" s="1">
        <v>5</v>
      </c>
      <c r="D37" s="1"/>
      <c r="I37" s="53"/>
      <c r="J37" s="53"/>
    </row>
    <row r="38" spans="1:10" hidden="1">
      <c r="A38" s="30"/>
      <c r="B38" s="1" t="s">
        <v>1451</v>
      </c>
      <c r="C38" s="1">
        <v>4</v>
      </c>
      <c r="D38" s="1"/>
    </row>
    <row r="39" spans="1:10" hidden="1">
      <c r="A39" s="30"/>
      <c r="B39" s="1" t="s">
        <v>1452</v>
      </c>
      <c r="C39" s="1">
        <v>3</v>
      </c>
      <c r="D39" s="1"/>
    </row>
    <row r="40" spans="1:10" hidden="1">
      <c r="A40" s="30"/>
      <c r="B40" s="1" t="s">
        <v>1453</v>
      </c>
      <c r="C40" s="1">
        <v>2</v>
      </c>
      <c r="D40" s="1"/>
    </row>
    <row r="41" spans="1:10" hidden="1">
      <c r="A41" s="30"/>
      <c r="B41" s="1" t="s">
        <v>1454</v>
      </c>
      <c r="C41" s="1">
        <v>1</v>
      </c>
      <c r="D41" s="1"/>
    </row>
    <row r="42" spans="1:10" hidden="1">
      <c r="A42" s="30"/>
      <c r="B42" s="1"/>
      <c r="C42" s="1"/>
      <c r="D42" s="1"/>
    </row>
    <row r="43" spans="1:10" ht="64.5" hidden="1">
      <c r="A43" s="30" t="s">
        <v>1494</v>
      </c>
      <c r="B43" s="1" t="s">
        <v>1497</v>
      </c>
      <c r="C43" s="1">
        <v>5</v>
      </c>
      <c r="D43" s="1"/>
    </row>
    <row r="44" spans="1:10" ht="84" hidden="1" customHeight="1">
      <c r="A44" s="30"/>
      <c r="B44" s="1" t="s">
        <v>1496</v>
      </c>
      <c r="C44" s="1">
        <v>4</v>
      </c>
      <c r="D44" s="1"/>
    </row>
    <row r="45" spans="1:10" ht="15" hidden="1" customHeight="1">
      <c r="A45" s="30"/>
      <c r="B45" s="1" t="s">
        <v>1495</v>
      </c>
      <c r="C45" s="1">
        <v>2</v>
      </c>
      <c r="D45" s="1"/>
    </row>
    <row r="46" spans="1:10" ht="15" hidden="1" customHeight="1">
      <c r="A46" s="30"/>
      <c r="B46" s="1" t="s">
        <v>1498</v>
      </c>
      <c r="C46" s="1">
        <v>1</v>
      </c>
      <c r="D46" s="1"/>
    </row>
    <row r="47" spans="1:10" ht="15" hidden="1" customHeight="1">
      <c r="A47" s="30"/>
      <c r="B47" s="1" t="s">
        <v>72</v>
      </c>
      <c r="C47" s="1"/>
      <c r="D47" s="1"/>
    </row>
    <row r="48" spans="1:10" ht="15" hidden="1" customHeight="1">
      <c r="A48" s="27" t="s">
        <v>1437</v>
      </c>
      <c r="B48" s="1"/>
      <c r="C48" s="1"/>
      <c r="D48" s="1"/>
    </row>
    <row r="49" spans="1:4" ht="48.75" hidden="1" customHeight="1">
      <c r="A49" s="30" t="s">
        <v>1455</v>
      </c>
      <c r="B49" s="48" t="s">
        <v>1456</v>
      </c>
      <c r="C49" s="1">
        <v>5</v>
      </c>
      <c r="D49" s="1"/>
    </row>
    <row r="50" spans="1:4" ht="30" hidden="1" customHeight="1">
      <c r="A50" s="30"/>
      <c r="B50" s="48" t="s">
        <v>1445</v>
      </c>
      <c r="C50" s="1">
        <v>4</v>
      </c>
      <c r="D50" s="1"/>
    </row>
    <row r="51" spans="1:4" ht="30" hidden="1">
      <c r="A51" s="30"/>
      <c r="B51" s="48" t="s">
        <v>1457</v>
      </c>
      <c r="C51" s="1">
        <v>2</v>
      </c>
      <c r="D51" s="1"/>
    </row>
    <row r="52" spans="1:4" hidden="1">
      <c r="A52" s="30"/>
      <c r="B52" s="48" t="s">
        <v>1458</v>
      </c>
      <c r="C52" s="1">
        <v>1</v>
      </c>
      <c r="D52" s="1"/>
    </row>
    <row r="53" spans="1:4" hidden="1">
      <c r="A53" s="30"/>
      <c r="B53" s="1"/>
      <c r="C53" s="1"/>
      <c r="D53" s="1"/>
    </row>
    <row r="54" spans="1:4" hidden="1">
      <c r="A54" s="30"/>
      <c r="B54" s="1"/>
      <c r="C54" s="1"/>
      <c r="D54" s="1"/>
    </row>
    <row r="55" spans="1:4" ht="45" hidden="1">
      <c r="A55" s="30" t="str">
        <f>A15</f>
        <v>Do you have a sustainability management plan in place for the farm?</v>
      </c>
      <c r="B55" s="48" t="s">
        <v>1469</v>
      </c>
      <c r="C55" s="1">
        <v>5</v>
      </c>
      <c r="D55" s="1"/>
    </row>
    <row r="56" spans="1:4" ht="60" hidden="1">
      <c r="A56" s="30"/>
      <c r="B56" s="48" t="s">
        <v>1470</v>
      </c>
      <c r="C56" s="1">
        <v>4</v>
      </c>
      <c r="D56" s="1"/>
    </row>
    <row r="57" spans="1:4" ht="30" hidden="1">
      <c r="A57" s="30"/>
      <c r="B57" s="48" t="s">
        <v>1471</v>
      </c>
      <c r="C57" s="1">
        <v>3</v>
      </c>
      <c r="D57" s="1"/>
    </row>
    <row r="58" spans="1:4" ht="45" hidden="1">
      <c r="A58" s="30"/>
      <c r="B58" s="48" t="s">
        <v>1472</v>
      </c>
      <c r="C58" s="1">
        <v>2</v>
      </c>
      <c r="D58" s="1"/>
    </row>
    <row r="59" spans="1:4" hidden="1">
      <c r="A59" s="30"/>
      <c r="B59" s="1" t="s">
        <v>1473</v>
      </c>
      <c r="C59" s="1">
        <v>1</v>
      </c>
      <c r="D59" s="1"/>
    </row>
    <row r="60" spans="1:4" hidden="1">
      <c r="A60" s="30"/>
      <c r="B60" s="1"/>
      <c r="C60" s="1"/>
      <c r="D60" s="1"/>
    </row>
    <row r="61" spans="1:4" hidden="1">
      <c r="A61" s="30"/>
      <c r="B61" s="1"/>
      <c r="C61" s="1"/>
      <c r="D61" s="1"/>
    </row>
    <row r="62" spans="1:4" hidden="1">
      <c r="A62" s="27" t="s">
        <v>1439</v>
      </c>
      <c r="B62" s="1"/>
      <c r="C62" s="1"/>
      <c r="D62" s="1"/>
    </row>
    <row r="63" spans="1:4" hidden="1">
      <c r="A63" s="30"/>
      <c r="B63" s="1"/>
      <c r="C63" s="1"/>
      <c r="D63" s="1"/>
    </row>
    <row r="64" spans="1:4" ht="51.75" hidden="1">
      <c r="A64" s="30" t="str">
        <f>A20</f>
        <v>Do you work together (information sharing, co-ops, shared outlets…) with other stakeholders in the production chain - other farmers, advisors, suppliers, control/certifying bodies, retailers, processors, government/policy people, NGOs, community groups</v>
      </c>
      <c r="B64" s="48" t="s">
        <v>1459</v>
      </c>
      <c r="C64" s="1">
        <v>5</v>
      </c>
      <c r="D64" s="1"/>
    </row>
    <row r="65" spans="1:4" ht="30" hidden="1">
      <c r="A65" s="30"/>
      <c r="B65" s="48" t="s">
        <v>1460</v>
      </c>
      <c r="C65" s="1">
        <v>4</v>
      </c>
      <c r="D65" s="1"/>
    </row>
    <row r="66" spans="1:4" ht="30" hidden="1">
      <c r="A66" s="30"/>
      <c r="B66" s="48" t="s">
        <v>1461</v>
      </c>
      <c r="C66" s="1">
        <v>3</v>
      </c>
      <c r="D66" s="1"/>
    </row>
    <row r="67" spans="1:4" ht="30" hidden="1">
      <c r="A67" s="30"/>
      <c r="B67" s="48" t="s">
        <v>1446</v>
      </c>
      <c r="C67" s="1">
        <v>2</v>
      </c>
      <c r="D67" s="1"/>
    </row>
    <row r="68" spans="1:4" ht="30" hidden="1">
      <c r="A68" s="30"/>
      <c r="B68" s="48" t="s">
        <v>1462</v>
      </c>
      <c r="C68" s="1">
        <v>1</v>
      </c>
      <c r="D68" s="1"/>
    </row>
    <row r="69" spans="1:4" hidden="1">
      <c r="A69" s="30"/>
      <c r="B69" s="48"/>
      <c r="C69" s="48"/>
      <c r="D69" s="48"/>
    </row>
    <row r="70" spans="1:4" hidden="1">
      <c r="A70" s="27" t="s">
        <v>1440</v>
      </c>
      <c r="B70" s="48"/>
      <c r="C70" s="48"/>
      <c r="D70" s="48"/>
    </row>
    <row r="71" spans="1:4" hidden="1">
      <c r="A71" s="30"/>
      <c r="B71" s="48"/>
      <c r="C71" s="48"/>
      <c r="D71" s="48"/>
    </row>
    <row r="72" spans="1:4" hidden="1">
      <c r="A72" s="30"/>
      <c r="B72" s="48"/>
      <c r="C72" s="48"/>
      <c r="D72" s="48"/>
    </row>
    <row r="73" spans="1:4" ht="51.75" hidden="1">
      <c r="A73" s="30" t="s">
        <v>1447</v>
      </c>
      <c r="B73" s="48" t="s">
        <v>1463</v>
      </c>
      <c r="C73" s="48">
        <v>5</v>
      </c>
      <c r="D73" s="48"/>
    </row>
    <row r="74" spans="1:4" ht="30" hidden="1">
      <c r="A74" s="30"/>
      <c r="B74" s="48" t="s">
        <v>1464</v>
      </c>
      <c r="C74" s="48">
        <v>4</v>
      </c>
      <c r="D74" s="48"/>
    </row>
    <row r="75" spans="1:4" ht="30" hidden="1">
      <c r="A75" s="30"/>
      <c r="B75" s="48" t="s">
        <v>1465</v>
      </c>
      <c r="C75" s="48">
        <v>2</v>
      </c>
      <c r="D75" s="48"/>
    </row>
    <row r="76" spans="1:4" ht="30" hidden="1">
      <c r="A76" s="30"/>
      <c r="B76" s="48" t="s">
        <v>1448</v>
      </c>
      <c r="C76" s="48">
        <v>1</v>
      </c>
      <c r="D76" s="48"/>
    </row>
    <row r="77" spans="1:4" hidden="1">
      <c r="A77" s="30"/>
      <c r="B77" s="48"/>
      <c r="C77" s="48"/>
      <c r="D77" s="48"/>
    </row>
    <row r="78" spans="1:4" ht="30" hidden="1">
      <c r="A78" s="30" t="str">
        <f>A25</f>
        <v>Did your land acquisition consider and make allowance for the access rights of the previous owners/tenants?</v>
      </c>
      <c r="B78" s="48" t="s">
        <v>1475</v>
      </c>
      <c r="C78" s="48">
        <v>5</v>
      </c>
      <c r="D78" s="48"/>
    </row>
    <row r="79" spans="1:4" ht="30" hidden="1">
      <c r="A79" s="30"/>
      <c r="B79" s="48" t="s">
        <v>1476</v>
      </c>
      <c r="C79" s="48">
        <v>3</v>
      </c>
      <c r="D79" s="48"/>
    </row>
    <row r="80" spans="1:4" ht="30" hidden="1">
      <c r="A80" s="30"/>
      <c r="B80" s="48" t="s">
        <v>1477</v>
      </c>
      <c r="C80" s="48">
        <v>2</v>
      </c>
      <c r="D80" s="48"/>
    </row>
    <row r="81" spans="1:4" ht="30" hidden="1">
      <c r="A81" s="30"/>
      <c r="B81" s="48" t="s">
        <v>1478</v>
      </c>
      <c r="C81" s="48">
        <v>1</v>
      </c>
      <c r="D81" s="48"/>
    </row>
    <row r="82" spans="1:4" hidden="1">
      <c r="A82" s="30"/>
      <c r="B82" s="48" t="s">
        <v>72</v>
      </c>
      <c r="C82" s="48"/>
      <c r="D82" s="48"/>
    </row>
    <row r="83" spans="1:4" hidden="1">
      <c r="A83" s="30"/>
      <c r="B83" s="48"/>
      <c r="C83" s="48"/>
      <c r="D83" s="48"/>
    </row>
    <row r="84" spans="1:4" hidden="1">
      <c r="A84" s="27" t="s">
        <v>1442</v>
      </c>
      <c r="B84" s="48"/>
      <c r="C84" s="48"/>
      <c r="D84" s="48"/>
    </row>
    <row r="85" spans="1:4" hidden="1">
      <c r="A85" s="30"/>
      <c r="B85" s="48"/>
      <c r="C85" s="48"/>
      <c r="D85" s="48"/>
    </row>
    <row r="86" spans="1:4" hidden="1">
      <c r="A86" s="30"/>
      <c r="B86" s="48"/>
      <c r="C86" s="48"/>
      <c r="D86" s="48"/>
    </row>
    <row r="87" spans="1:4" ht="39" hidden="1">
      <c r="A87" s="30" t="s">
        <v>1449</v>
      </c>
      <c r="B87" s="48" t="s">
        <v>1466</v>
      </c>
      <c r="C87" s="48">
        <v>5</v>
      </c>
      <c r="D87" s="48"/>
    </row>
    <row r="88" spans="1:4" ht="30" hidden="1">
      <c r="A88" s="30"/>
      <c r="B88" s="48" t="s">
        <v>1467</v>
      </c>
      <c r="C88" s="48">
        <v>3</v>
      </c>
      <c r="D88" s="48"/>
    </row>
    <row r="89" spans="1:4" ht="36.75" hidden="1" customHeight="1">
      <c r="A89" s="30"/>
      <c r="B89" s="48" t="s">
        <v>1450</v>
      </c>
      <c r="C89" s="48">
        <v>1</v>
      </c>
      <c r="D89" s="48"/>
    </row>
    <row r="90" spans="1:4" hidden="1">
      <c r="A90" s="30"/>
      <c r="B90" s="48" t="s">
        <v>72</v>
      </c>
      <c r="C90" s="48"/>
      <c r="D90" s="48"/>
    </row>
    <row r="91" spans="1:4" hidden="1">
      <c r="A91" s="30"/>
      <c r="B91" s="48"/>
      <c r="C91" s="48"/>
      <c r="D91" s="48"/>
    </row>
    <row r="92" spans="1:4" hidden="1"/>
    <row r="93" spans="1:4" hidden="1"/>
  </sheetData>
  <sheetProtection algorithmName="SHA-512" hashValue="A1VQIIttM9K9RRW1J+PRrwBJwA3TZMcLii62lssh6uioGEdn+quXK0Gw6NdVY8s3oVk5Su1iCmeP7OBi6MgLAg==" saltValue="+64d0EamTMnXb1FefxId/A==" spinCount="100000" sheet="1" objects="1" scenarios="1"/>
  <mergeCells count="8">
    <mergeCell ref="D30:E30"/>
    <mergeCell ref="K15:L15"/>
    <mergeCell ref="I14:L14"/>
    <mergeCell ref="I9:L9"/>
    <mergeCell ref="I10:L10"/>
    <mergeCell ref="I11:L11"/>
    <mergeCell ref="I12:L12"/>
    <mergeCell ref="I13:L13"/>
  </mergeCells>
  <dataValidations count="8">
    <dataValidation type="list" allowBlank="1" showInputMessage="1" showErrorMessage="1" sqref="B24" xr:uid="{00000000-0002-0000-0D00-000000000000}">
      <formula1>$B$73:$B$76</formula1>
    </dataValidation>
    <dataValidation type="list" allowBlank="1" showInputMessage="1" showErrorMessage="1" sqref="B14" xr:uid="{00000000-0002-0000-0D00-000001000000}">
      <formula1>$B$49:$B$52</formula1>
    </dataValidation>
    <dataValidation type="list" allowBlank="1" showInputMessage="1" showErrorMessage="1" sqref="B20" xr:uid="{00000000-0002-0000-0D00-000002000000}">
      <formula1>$B$64:$B$68</formula1>
    </dataValidation>
    <dataValidation type="list" allowBlank="1" showInputMessage="1" showErrorMessage="1" sqref="B29" xr:uid="{00000000-0002-0000-0D00-000003000000}">
      <formula1>$B$87:$B$90</formula1>
    </dataValidation>
    <dataValidation type="list" allowBlank="1" showInputMessage="1" showErrorMessage="1" sqref="B10" xr:uid="{00000000-0002-0000-0D00-000004000000}">
      <formula1>$B$37:$B$41</formula1>
    </dataValidation>
    <dataValidation type="list" allowBlank="1" showInputMessage="1" showErrorMessage="1" sqref="B15" xr:uid="{00000000-0002-0000-0D00-000005000000}">
      <formula1>$B$55:$B$59</formula1>
    </dataValidation>
    <dataValidation type="list" allowBlank="1" showInputMessage="1" showErrorMessage="1" sqref="B25" xr:uid="{00000000-0002-0000-0D00-000006000000}">
      <formula1>$B$78:$B$82</formula1>
    </dataValidation>
    <dataValidation type="list" allowBlank="1" showInputMessage="1" showErrorMessage="1" sqref="B11" xr:uid="{00000000-0002-0000-0D00-000007000000}">
      <formula1>$B$43:$B$47</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5:M118"/>
  <sheetViews>
    <sheetView showGridLines="0" view="pageBreakPreview" zoomScale="70" zoomScaleNormal="90" zoomScaleSheetLayoutView="70" workbookViewId="0">
      <selection activeCell="O22" sqref="O22"/>
    </sheetView>
  </sheetViews>
  <sheetFormatPr defaultRowHeight="15"/>
  <cols>
    <col min="1" max="1" width="48.7109375" customWidth="1"/>
    <col min="2" max="2" width="36.7109375" customWidth="1"/>
    <col min="3" max="3" width="11.28515625" bestFit="1" customWidth="1"/>
    <col min="5" max="5" width="6.7109375" customWidth="1"/>
    <col min="6" max="6" width="28.85546875" customWidth="1"/>
    <col min="7" max="7" width="17.7109375" customWidth="1"/>
  </cols>
  <sheetData>
    <row r="5" spans="3:13" ht="28.5">
      <c r="D5" s="821">
        <f>'Initial data collection sheet'!B16</f>
        <v>0</v>
      </c>
      <c r="M5" s="819">
        <f>D5</f>
        <v>0</v>
      </c>
    </row>
    <row r="6" spans="3:13" s="389" customFormat="1" ht="23.25">
      <c r="C6" s="387"/>
      <c r="D6" s="820">
        <f>'Initial data collection sheet'!B17</f>
        <v>0</v>
      </c>
      <c r="E6" s="387"/>
      <c r="F6" s="387"/>
      <c r="G6" s="388"/>
      <c r="M6" s="820">
        <f>D6</f>
        <v>0</v>
      </c>
    </row>
    <row r="46" spans="1:2" ht="15.75" thickBot="1"/>
    <row r="47" spans="1:2" ht="15.75" thickBot="1">
      <c r="A47" s="785" t="s">
        <v>348</v>
      </c>
      <c r="B47" s="786" t="s">
        <v>0</v>
      </c>
    </row>
    <row r="48" spans="1:2">
      <c r="A48" s="787" t="s">
        <v>349</v>
      </c>
      <c r="B48" s="1028">
        <f>'Landscape and Heritage'!J14</f>
        <v>1</v>
      </c>
    </row>
    <row r="49" spans="1:13">
      <c r="A49" s="788" t="s">
        <v>135</v>
      </c>
      <c r="B49" s="1029">
        <f>'Soil management'!J15</f>
        <v>3</v>
      </c>
    </row>
    <row r="50" spans="1:13">
      <c r="A50" s="788" t="s">
        <v>350</v>
      </c>
      <c r="B50" s="1029">
        <f>'Energy and carbon'!M13</f>
        <v>5</v>
      </c>
    </row>
    <row r="51" spans="1:13">
      <c r="A51" s="788" t="s">
        <v>351</v>
      </c>
      <c r="B51" s="1029">
        <f>'Agricultural systems diversity'!M16</f>
        <v>1</v>
      </c>
    </row>
    <row r="52" spans="1:13">
      <c r="A52" s="788" t="s">
        <v>445</v>
      </c>
      <c r="B52" s="1029" t="str">
        <f>C92</f>
        <v>N/A</v>
      </c>
    </row>
    <row r="53" spans="1:13">
      <c r="A53" s="788" t="s">
        <v>352</v>
      </c>
      <c r="B53" s="1029">
        <f>'Social Capital'!K14</f>
        <v>1</v>
      </c>
    </row>
    <row r="54" spans="1:13">
      <c r="A54" s="788" t="s">
        <v>353</v>
      </c>
      <c r="B54" s="1029">
        <f>'Farm Business Resilience'!L14</f>
        <v>1</v>
      </c>
    </row>
    <row r="55" spans="1:13" ht="15" customHeight="1">
      <c r="A55" s="788" t="s">
        <v>1330</v>
      </c>
      <c r="B55" s="1029" t="str">
        <f>'AnimalHealth&amp;Welfare Management'!L17</f>
        <v>n/a</v>
      </c>
    </row>
    <row r="56" spans="1:13" ht="15.75" thickBot="1">
      <c r="A56" s="818" t="s">
        <v>1432</v>
      </c>
      <c r="B56" s="1030">
        <f>Governance!M15</f>
        <v>1</v>
      </c>
    </row>
    <row r="57" spans="1:13" ht="26.25" customHeight="1">
      <c r="A57" s="1104"/>
      <c r="B57" s="1104"/>
    </row>
    <row r="62" spans="1:13" ht="28.5">
      <c r="D62" s="819">
        <f>D5</f>
        <v>0</v>
      </c>
      <c r="M62" s="819">
        <f>D5</f>
        <v>0</v>
      </c>
    </row>
    <row r="63" spans="1:13" ht="23.25">
      <c r="D63" s="820">
        <f>D6</f>
        <v>0</v>
      </c>
      <c r="M63" s="820">
        <f>D6</f>
        <v>0</v>
      </c>
    </row>
    <row r="65" spans="1:13" ht="15.75" thickBot="1"/>
    <row r="66" spans="1:13" ht="15.75" thickBot="1">
      <c r="A66" s="791" t="s">
        <v>1725</v>
      </c>
      <c r="B66" s="789"/>
      <c r="C66" s="792" t="s">
        <v>1668</v>
      </c>
      <c r="D66" s="786"/>
      <c r="E66" s="300"/>
      <c r="F66" s="1093" t="s">
        <v>1637</v>
      </c>
      <c r="G66" s="1094"/>
      <c r="H66" s="1094"/>
      <c r="I66" s="1094"/>
      <c r="J66" s="1095"/>
      <c r="K66" s="16"/>
      <c r="L66" s="16"/>
      <c r="M66" s="16"/>
    </row>
    <row r="67" spans="1:13" ht="29.25" customHeight="1">
      <c r="A67" s="793"/>
      <c r="B67" s="391"/>
      <c r="C67" s="391"/>
      <c r="D67" s="794"/>
      <c r="E67" s="300"/>
      <c r="F67" s="990" t="s">
        <v>1627</v>
      </c>
      <c r="G67" s="991" t="e">
        <f>'Initial data collection sheet'!I376</f>
        <v>#DIV/0!</v>
      </c>
      <c r="H67" s="992"/>
      <c r="I67" s="992"/>
      <c r="J67" s="993"/>
      <c r="K67" s="16"/>
      <c r="L67" s="16"/>
      <c r="M67" s="16"/>
    </row>
    <row r="68" spans="1:13" ht="15" customHeight="1" thickBot="1">
      <c r="A68" s="795" t="s">
        <v>598</v>
      </c>
      <c r="B68" s="1031">
        <f>'Initial data collection sheet'!B16:C16</f>
        <v>0</v>
      </c>
      <c r="C68" s="790"/>
      <c r="D68" s="796"/>
      <c r="E68" s="817"/>
      <c r="F68" s="1100"/>
      <c r="G68" s="1101"/>
      <c r="H68" s="994"/>
      <c r="I68" s="994"/>
      <c r="J68" s="995"/>
    </row>
    <row r="69" spans="1:13" ht="23.25" customHeight="1">
      <c r="A69" s="795" t="s">
        <v>600</v>
      </c>
      <c r="B69" s="1031" t="str">
        <f>'Initial data collection sheet'!B18:C18</f>
        <v>owner occupier</v>
      </c>
      <c r="C69" s="790"/>
      <c r="D69" s="796"/>
      <c r="E69" s="817"/>
      <c r="F69" s="1102"/>
      <c r="G69" s="1103"/>
      <c r="H69" s="997"/>
      <c r="I69" s="997"/>
      <c r="J69" s="998"/>
    </row>
    <row r="70" spans="1:13">
      <c r="A70" s="795" t="s">
        <v>1187</v>
      </c>
      <c r="B70" s="1032" t="str">
        <f>'Initial data collection sheet'!B19</f>
        <v>Medium soil</v>
      </c>
      <c r="C70" s="307"/>
      <c r="D70" s="796"/>
      <c r="E70" s="817"/>
      <c r="F70" s="1096" t="s">
        <v>1631</v>
      </c>
      <c r="G70" s="1097"/>
      <c r="H70" s="1097"/>
      <c r="I70" s="997"/>
      <c r="J70" s="998"/>
    </row>
    <row r="71" spans="1:13" ht="15" customHeight="1">
      <c r="A71" s="795" t="s">
        <v>1188</v>
      </c>
      <c r="B71" s="1033">
        <f>'Initial data collection sheet'!B20</f>
        <v>0</v>
      </c>
      <c r="C71" s="29" t="s">
        <v>632</v>
      </c>
      <c r="D71" s="796"/>
      <c r="E71" s="817"/>
      <c r="F71" s="1000" t="s">
        <v>1628</v>
      </c>
      <c r="G71" s="1001" t="str">
        <f>'NPK budget'!I11</f>
        <v>no data</v>
      </c>
      <c r="H71" s="997" t="s">
        <v>1643</v>
      </c>
      <c r="I71" s="997"/>
      <c r="J71" s="998"/>
    </row>
    <row r="72" spans="1:13">
      <c r="A72" s="795" t="s">
        <v>1189</v>
      </c>
      <c r="B72" s="1031">
        <f>'Initial data collection sheet'!B21</f>
        <v>0</v>
      </c>
      <c r="C72" s="32" t="s">
        <v>1192</v>
      </c>
      <c r="D72" s="796"/>
      <c r="E72" s="817"/>
      <c r="F72" s="1000" t="s">
        <v>1629</v>
      </c>
      <c r="G72" s="1001" t="str">
        <f>'NPK budget'!I12</f>
        <v>no data</v>
      </c>
      <c r="H72" s="997" t="s">
        <v>1643</v>
      </c>
      <c r="I72" s="997"/>
      <c r="J72" s="998"/>
    </row>
    <row r="73" spans="1:13" ht="15" customHeight="1">
      <c r="A73" s="797" t="s">
        <v>641</v>
      </c>
      <c r="B73" s="1031">
        <f>'Initial data collection sheet'!B22</f>
        <v>0</v>
      </c>
      <c r="C73" s="32" t="s">
        <v>1193</v>
      </c>
      <c r="D73" s="796"/>
      <c r="E73" s="817"/>
      <c r="F73" s="1000" t="s">
        <v>1630</v>
      </c>
      <c r="G73" s="1001" t="str">
        <f>'NPK budget'!I13</f>
        <v>no data</v>
      </c>
      <c r="H73" s="997" t="s">
        <v>1643</v>
      </c>
      <c r="I73" s="997"/>
      <c r="J73" s="998"/>
    </row>
    <row r="74" spans="1:13">
      <c r="A74" s="795" t="s">
        <v>642</v>
      </c>
      <c r="B74" s="1031">
        <f>'Initial data collection sheet'!B23</f>
        <v>0</v>
      </c>
      <c r="C74" s="32" t="s">
        <v>1193</v>
      </c>
      <c r="D74" s="796"/>
      <c r="E74" s="817"/>
      <c r="F74" s="1002"/>
      <c r="G74" s="1003"/>
      <c r="H74" s="1004"/>
      <c r="I74" s="1004"/>
      <c r="J74" s="1005"/>
    </row>
    <row r="75" spans="1:13" ht="15.75">
      <c r="A75" s="795" t="s">
        <v>1641</v>
      </c>
      <c r="B75" s="1031" t="str">
        <f>'Initial data collection sheet'!B24</f>
        <v>higher-level scheme</v>
      </c>
      <c r="C75" s="670"/>
      <c r="D75" s="796"/>
      <c r="E75" s="817"/>
      <c r="F75" s="1098" t="s">
        <v>1726</v>
      </c>
      <c r="G75" s="1099"/>
      <c r="H75" s="1099"/>
      <c r="I75" s="1099"/>
      <c r="J75" s="1006"/>
    </row>
    <row r="76" spans="1:13">
      <c r="A76" s="795" t="s">
        <v>1611</v>
      </c>
      <c r="B76" s="1031" t="str">
        <f>'Initial data collection sheet'!B25</f>
        <v>United Kingdom</v>
      </c>
      <c r="C76" s="670"/>
      <c r="D76" s="796"/>
      <c r="E76" s="817"/>
      <c r="F76" s="1000" t="s">
        <v>136</v>
      </c>
      <c r="G76" s="1007" t="str">
        <f>'Energy and carbon'!D17</f>
        <v>No arable</v>
      </c>
      <c r="H76" s="1008"/>
      <c r="I76" s="1008"/>
      <c r="J76" s="998"/>
    </row>
    <row r="77" spans="1:13" ht="34.5" customHeight="1">
      <c r="A77" s="795" t="s">
        <v>1639</v>
      </c>
      <c r="B77" s="1031" t="str">
        <f>'Initial data collection sheet'!B26</f>
        <v>No</v>
      </c>
      <c r="C77" s="670"/>
      <c r="D77" s="796"/>
      <c r="E77" s="817"/>
      <c r="F77" s="1009" t="s">
        <v>1632</v>
      </c>
      <c r="G77" s="1007" t="str">
        <f>'Energy and carbon'!D26</f>
        <v>No beef or sheep</v>
      </c>
      <c r="H77" s="1008"/>
      <c r="I77" s="1008"/>
      <c r="J77" s="998"/>
    </row>
    <row r="78" spans="1:13" ht="15" customHeight="1">
      <c r="A78" s="795" t="s">
        <v>1640</v>
      </c>
      <c r="B78" s="1031" t="str">
        <f>'Initial data collection sheet'!B27</f>
        <v>Yes</v>
      </c>
      <c r="C78" s="307"/>
      <c r="D78" s="796"/>
      <c r="E78" s="817"/>
      <c r="F78" s="1009" t="s">
        <v>138</v>
      </c>
      <c r="G78" s="1007" t="str">
        <f>'Energy and carbon'!D36</f>
        <v>No dairy</v>
      </c>
      <c r="H78" s="1008"/>
      <c r="I78" s="1008"/>
      <c r="J78" s="998"/>
    </row>
    <row r="79" spans="1:13">
      <c r="A79" s="795"/>
      <c r="B79" s="996"/>
      <c r="C79" s="307"/>
      <c r="D79" s="796"/>
      <c r="E79" s="817"/>
      <c r="F79" s="1000" t="s">
        <v>147</v>
      </c>
      <c r="G79" s="1007" t="str">
        <f>'Energy and carbon'!D46</f>
        <v>No pigs</v>
      </c>
      <c r="H79" s="1008"/>
      <c r="I79" s="1008"/>
      <c r="J79" s="998"/>
    </row>
    <row r="80" spans="1:13" ht="15.75" thickBot="1">
      <c r="A80" s="798" t="s">
        <v>1638</v>
      </c>
      <c r="B80" s="1034">
        <f>'Initial data collection sheet'!B32</f>
        <v>0</v>
      </c>
      <c r="C80" s="799"/>
      <c r="D80" s="800"/>
      <c r="E80" s="817"/>
      <c r="F80" s="1000" t="s">
        <v>1633</v>
      </c>
      <c r="G80" s="1007" t="str">
        <f>'Energy and carbon'!D58</f>
        <v>No layers</v>
      </c>
      <c r="H80" s="1008"/>
      <c r="I80" s="1008"/>
      <c r="J80" s="998"/>
    </row>
    <row r="81" spans="1:10" ht="15" customHeight="1" thickBot="1">
      <c r="A81" s="801"/>
      <c r="B81" s="315"/>
      <c r="C81" s="315"/>
      <c r="D81" s="315"/>
      <c r="E81" s="315"/>
      <c r="F81" s="1000" t="s">
        <v>1634</v>
      </c>
      <c r="G81" s="1007" t="str">
        <f>'Energy and carbon'!D59</f>
        <v>No broilers</v>
      </c>
      <c r="H81" s="1008"/>
      <c r="I81" s="1008"/>
      <c r="J81" s="998"/>
    </row>
    <row r="82" spans="1:10" ht="15" customHeight="1">
      <c r="A82" s="816" t="s">
        <v>354</v>
      </c>
      <c r="B82" s="805" t="s">
        <v>220</v>
      </c>
      <c r="C82" s="806" t="s">
        <v>0</v>
      </c>
      <c r="D82" s="315"/>
      <c r="E82" s="315"/>
      <c r="F82" s="1000" t="s">
        <v>1635</v>
      </c>
      <c r="G82" s="1007" t="str">
        <f>'Energy and carbon'!D62</f>
        <v>no domestic</v>
      </c>
      <c r="H82" s="1008"/>
      <c r="I82" s="1008"/>
      <c r="J82" s="998"/>
    </row>
    <row r="83" spans="1:10" ht="15" customHeight="1">
      <c r="A83" s="1105" t="s">
        <v>252</v>
      </c>
      <c r="B83" s="802" t="str">
        <f>'Landscape and Heritage'!E10</f>
        <v>Historic features</v>
      </c>
      <c r="C83" s="1023" t="str">
        <f>'Landscape and Heritage'!J10</f>
        <v>N/A</v>
      </c>
      <c r="D83" s="315"/>
      <c r="E83" s="315"/>
      <c r="F83" s="1010"/>
      <c r="G83" s="1008"/>
      <c r="H83" s="1008"/>
      <c r="I83" s="1008"/>
      <c r="J83" s="998"/>
    </row>
    <row r="84" spans="1:10" ht="15" customHeight="1">
      <c r="A84" s="1106"/>
      <c r="B84" s="784" t="str">
        <f>'Landscape and Heritage'!E11</f>
        <v>Landscape management</v>
      </c>
      <c r="C84" s="1024">
        <f>'Landscape and Heritage'!J11</f>
        <v>1</v>
      </c>
      <c r="D84" s="315"/>
      <c r="E84" s="315"/>
      <c r="F84" s="1011" t="s">
        <v>1783</v>
      </c>
      <c r="G84" s="1012" t="e">
        <f>'Energy and carbon'!B69</f>
        <v>#DIV/0!</v>
      </c>
      <c r="H84" s="1013"/>
      <c r="I84" s="1013"/>
      <c r="J84" s="1005"/>
    </row>
    <row r="85" spans="1:10" ht="30" customHeight="1">
      <c r="A85" s="1106"/>
      <c r="B85" s="784" t="str">
        <f>'Landscape and Heritage'!E12</f>
        <v>Management of boundaries</v>
      </c>
      <c r="C85" s="1024">
        <f>'Landscape and Heritage'!J12</f>
        <v>1</v>
      </c>
      <c r="D85" s="315"/>
      <c r="E85" s="315"/>
      <c r="F85" s="1014"/>
      <c r="G85" s="1015"/>
      <c r="H85" s="1015"/>
      <c r="I85" s="1015"/>
      <c r="J85" s="1006"/>
    </row>
    <row r="86" spans="1:10" ht="14.25" customHeight="1">
      <c r="A86" s="807"/>
      <c r="B86" s="803" t="s">
        <v>1213</v>
      </c>
      <c r="C86" s="1025" t="str">
        <f>'Landscape and Heritage'!J13</f>
        <v>N/A</v>
      </c>
      <c r="D86" s="315"/>
      <c r="E86" s="315"/>
      <c r="F86" s="999" t="s">
        <v>1727</v>
      </c>
      <c r="G86" s="1016">
        <f>'Energy and carbon'!E75/1000</f>
        <v>0</v>
      </c>
      <c r="H86" s="1008" t="s">
        <v>1728</v>
      </c>
      <c r="I86" s="1008"/>
      <c r="J86" s="998"/>
    </row>
    <row r="87" spans="1:10">
      <c r="A87" s="815" t="s">
        <v>135</v>
      </c>
      <c r="B87" s="802" t="s">
        <v>75</v>
      </c>
      <c r="C87" s="1023">
        <f>'Soil management'!J10</f>
        <v>1</v>
      </c>
      <c r="D87" s="315"/>
      <c r="E87" s="315"/>
      <c r="F87" s="1017"/>
      <c r="G87" s="1015"/>
      <c r="H87" s="1015"/>
      <c r="I87" s="1015"/>
      <c r="J87" s="1006"/>
    </row>
    <row r="88" spans="1:10">
      <c r="A88" s="808"/>
      <c r="B88" s="784" t="s">
        <v>135</v>
      </c>
      <c r="C88" s="1024" t="str">
        <f>'Soil management'!J11</f>
        <v>N/A</v>
      </c>
      <c r="D88" s="315"/>
      <c r="E88" s="315"/>
      <c r="F88" s="1018" t="s">
        <v>1636</v>
      </c>
      <c r="G88" s="1016">
        <f>SUM('Social Capital'!B13,'Social Capital'!B14)+'Social Capital'!B12/2200</f>
        <v>0</v>
      </c>
      <c r="H88" s="1008"/>
      <c r="I88" s="1008"/>
      <c r="J88" s="998"/>
    </row>
    <row r="89" spans="1:10">
      <c r="A89" s="808"/>
      <c r="B89" s="784" t="s">
        <v>363</v>
      </c>
      <c r="C89" s="1024" t="str">
        <f>'Soil management'!J12</f>
        <v>N/A</v>
      </c>
      <c r="D89" s="315"/>
      <c r="E89" s="315"/>
      <c r="F89" s="1019"/>
      <c r="G89" s="1008"/>
      <c r="H89" s="1008"/>
      <c r="I89" s="1008"/>
      <c r="J89" s="998"/>
    </row>
    <row r="90" spans="1:10" ht="15.75" thickBot="1">
      <c r="A90" s="808"/>
      <c r="B90" s="784" t="s">
        <v>134</v>
      </c>
      <c r="C90" s="1024">
        <f>'Soil management'!J13</f>
        <v>5</v>
      </c>
      <c r="D90" s="315"/>
      <c r="E90" s="315"/>
      <c r="F90" s="1020"/>
      <c r="G90" s="1021"/>
      <c r="H90" s="1021"/>
      <c r="I90" s="1021"/>
      <c r="J90" s="1022"/>
    </row>
    <row r="91" spans="1:10">
      <c r="A91" s="809"/>
      <c r="B91" s="803" t="s">
        <v>132</v>
      </c>
      <c r="C91" s="1025" t="str">
        <f>'Soil management'!J14</f>
        <v>N/A</v>
      </c>
      <c r="D91" s="315"/>
      <c r="E91" s="315"/>
      <c r="F91" s="315"/>
      <c r="G91" s="315"/>
      <c r="H91" s="315"/>
      <c r="I91" s="315"/>
      <c r="J91" s="315"/>
    </row>
    <row r="92" spans="1:10">
      <c r="A92" s="814" t="s">
        <v>1642</v>
      </c>
      <c r="B92" s="804" t="s">
        <v>445</v>
      </c>
      <c r="C92" s="1026" t="str">
        <f>'NPK budget'!J14</f>
        <v>N/A</v>
      </c>
      <c r="D92" s="315"/>
      <c r="E92" s="315"/>
      <c r="F92" s="315"/>
      <c r="G92" s="315"/>
      <c r="H92" s="315"/>
      <c r="I92" s="315"/>
      <c r="J92" s="315"/>
    </row>
    <row r="93" spans="1:10">
      <c r="A93" s="1105" t="s">
        <v>350</v>
      </c>
      <c r="B93" s="802" t="s">
        <v>446</v>
      </c>
      <c r="C93" s="1023" t="str">
        <f>'Energy and carbon'!F64</f>
        <v>N/A</v>
      </c>
      <c r="D93" s="315"/>
      <c r="E93" s="315"/>
      <c r="F93" s="315"/>
      <c r="G93" s="315"/>
      <c r="H93" s="315"/>
      <c r="I93" s="315"/>
      <c r="J93" s="315"/>
    </row>
    <row r="94" spans="1:10">
      <c r="A94" s="1106"/>
      <c r="B94" s="784" t="s">
        <v>358</v>
      </c>
      <c r="C94" s="1024">
        <f>'Energy and carbon'!F92</f>
        <v>5</v>
      </c>
      <c r="D94" s="315"/>
      <c r="E94" s="315"/>
      <c r="F94" s="315"/>
      <c r="G94" s="315"/>
      <c r="H94" s="315"/>
      <c r="I94" s="315"/>
      <c r="J94" s="315"/>
    </row>
    <row r="95" spans="1:10">
      <c r="A95" s="1107"/>
      <c r="B95" s="803" t="s">
        <v>150</v>
      </c>
      <c r="C95" s="1025" t="str">
        <f>'Energy and carbon'!F69</f>
        <v>N/A</v>
      </c>
      <c r="D95" s="315"/>
      <c r="E95" s="315"/>
      <c r="F95" s="315"/>
      <c r="G95" s="315"/>
      <c r="H95" s="315"/>
      <c r="I95" s="311"/>
      <c r="J95" s="315"/>
    </row>
    <row r="96" spans="1:10">
      <c r="A96" s="1105" t="s">
        <v>351</v>
      </c>
      <c r="B96" s="802" t="s">
        <v>224</v>
      </c>
      <c r="C96" s="1023" t="str">
        <f>'Agricultural systems diversity'!M11</f>
        <v>N/A</v>
      </c>
      <c r="D96" s="315"/>
      <c r="E96" s="315"/>
      <c r="F96" s="315"/>
      <c r="G96" s="315"/>
      <c r="H96" s="315"/>
      <c r="I96" s="315"/>
      <c r="J96" s="315"/>
    </row>
    <row r="97" spans="1:10">
      <c r="A97" s="1106"/>
      <c r="B97" s="784" t="s">
        <v>180</v>
      </c>
      <c r="C97" s="1024" t="str">
        <f>'Agricultural systems diversity'!M12</f>
        <v>N/A</v>
      </c>
      <c r="D97" s="315"/>
      <c r="E97" s="315"/>
      <c r="F97" s="315"/>
      <c r="G97" s="315"/>
      <c r="H97" s="315"/>
      <c r="I97" s="315"/>
      <c r="J97" s="315"/>
    </row>
    <row r="98" spans="1:10" ht="15.75" customHeight="1">
      <c r="A98" s="1106"/>
      <c r="B98" s="784" t="s">
        <v>225</v>
      </c>
      <c r="C98" s="1024">
        <f>'Agricultural systems diversity'!M14</f>
        <v>1</v>
      </c>
      <c r="D98" s="315"/>
      <c r="E98" s="315"/>
      <c r="F98" s="315"/>
      <c r="G98" s="315"/>
      <c r="H98" s="315"/>
      <c r="I98" s="315"/>
      <c r="J98" s="315"/>
    </row>
    <row r="99" spans="1:10" ht="15.75" customHeight="1">
      <c r="A99" s="1106"/>
      <c r="B99" s="784" t="s">
        <v>447</v>
      </c>
      <c r="C99" s="1024">
        <f>'Agricultural systems diversity'!M15</f>
        <v>1</v>
      </c>
      <c r="D99" s="315"/>
      <c r="E99" s="315"/>
      <c r="F99" s="315"/>
      <c r="G99" s="315"/>
      <c r="H99" s="315"/>
      <c r="I99" s="315"/>
      <c r="J99" s="315"/>
    </row>
    <row r="100" spans="1:10">
      <c r="A100" s="807"/>
      <c r="B100" s="803" t="str">
        <f>'Agricultural systems diversity'!H13</f>
        <v>Woody perennial land area</v>
      </c>
      <c r="C100" s="1025" t="str">
        <f>'Agricultural systems diversity'!M13</f>
        <v>N/A</v>
      </c>
      <c r="D100" s="315"/>
      <c r="E100" s="315"/>
      <c r="F100" s="315"/>
      <c r="G100" s="315"/>
      <c r="H100" s="315"/>
      <c r="I100" s="315"/>
      <c r="J100" s="315"/>
    </row>
    <row r="101" spans="1:10">
      <c r="A101" s="1105" t="s">
        <v>352</v>
      </c>
      <c r="B101" s="802" t="s">
        <v>10</v>
      </c>
      <c r="C101" s="1023" t="str">
        <f>'Social Capital'!K10</f>
        <v>N/A</v>
      </c>
      <c r="D101" s="315"/>
      <c r="E101" s="315"/>
      <c r="F101" s="315"/>
      <c r="G101" s="315"/>
      <c r="H101" s="315"/>
      <c r="I101" s="315"/>
      <c r="J101" s="315"/>
    </row>
    <row r="102" spans="1:10">
      <c r="A102" s="1106"/>
      <c r="B102" s="784" t="s">
        <v>11</v>
      </c>
      <c r="C102" s="1024">
        <f>'Social Capital'!K11</f>
        <v>1</v>
      </c>
      <c r="D102" s="315"/>
      <c r="E102" s="315"/>
      <c r="F102" s="315"/>
      <c r="G102" s="315"/>
      <c r="H102" s="315"/>
      <c r="I102" s="315"/>
      <c r="J102" s="315"/>
    </row>
    <row r="103" spans="1:10">
      <c r="A103" s="1106"/>
      <c r="B103" s="784" t="s">
        <v>12</v>
      </c>
      <c r="C103" s="1024">
        <f>'Social Capital'!K12</f>
        <v>1</v>
      </c>
      <c r="D103" s="315"/>
      <c r="E103" s="315"/>
      <c r="F103" s="315"/>
      <c r="G103" s="315"/>
      <c r="H103" s="315"/>
      <c r="I103" s="315"/>
      <c r="J103" s="315"/>
    </row>
    <row r="104" spans="1:10">
      <c r="A104" s="807"/>
      <c r="B104" s="803" t="s">
        <v>1176</v>
      </c>
      <c r="C104" s="1025">
        <f>'Social Capital'!F39</f>
        <v>1</v>
      </c>
      <c r="D104" s="315"/>
      <c r="E104" s="315"/>
      <c r="F104" s="315"/>
      <c r="G104" s="315"/>
      <c r="H104" s="315"/>
      <c r="I104" s="315"/>
      <c r="J104" s="315"/>
    </row>
    <row r="105" spans="1:10">
      <c r="A105" s="1105" t="s">
        <v>353</v>
      </c>
      <c r="B105" s="802" t="s">
        <v>17</v>
      </c>
      <c r="C105" s="1023">
        <f>'Farm Business Resilience'!L12</f>
        <v>1</v>
      </c>
      <c r="D105" s="315"/>
      <c r="E105" s="315"/>
      <c r="F105" s="315"/>
      <c r="G105" s="315"/>
      <c r="H105" s="315"/>
      <c r="I105" s="315"/>
      <c r="J105" s="315"/>
    </row>
    <row r="106" spans="1:10">
      <c r="A106" s="1107"/>
      <c r="B106" s="803" t="s">
        <v>18</v>
      </c>
      <c r="C106" s="1025">
        <f>'Farm Business Resilience'!L13</f>
        <v>1</v>
      </c>
      <c r="D106" s="315"/>
      <c r="E106" s="315"/>
      <c r="F106" s="315"/>
      <c r="G106" s="315"/>
      <c r="H106" s="315"/>
      <c r="I106" s="315"/>
      <c r="J106" s="315"/>
    </row>
    <row r="107" spans="1:10">
      <c r="A107" s="1105" t="s">
        <v>1330</v>
      </c>
      <c r="B107" s="802" t="s">
        <v>19</v>
      </c>
      <c r="C107" s="1023" t="str">
        <f>'AnimalHealth&amp;Welfare Management'!L11</f>
        <v>n/a</v>
      </c>
      <c r="D107" s="315"/>
      <c r="E107" s="315"/>
      <c r="F107" s="315"/>
      <c r="G107" s="315"/>
      <c r="H107" s="315"/>
      <c r="I107" s="315"/>
      <c r="J107" s="315"/>
    </row>
    <row r="108" spans="1:10">
      <c r="A108" s="1106"/>
      <c r="B108" s="784" t="s">
        <v>20</v>
      </c>
      <c r="C108" s="1024" t="str">
        <f>'AnimalHealth&amp;Welfare Management'!L12</f>
        <v>n/a</v>
      </c>
      <c r="D108" s="315"/>
      <c r="E108" s="315"/>
      <c r="F108" s="315"/>
      <c r="G108" s="315"/>
      <c r="H108" s="315"/>
      <c r="I108" s="315"/>
      <c r="J108" s="315"/>
    </row>
    <row r="109" spans="1:10">
      <c r="A109" s="1106"/>
      <c r="B109" s="784" t="s">
        <v>22</v>
      </c>
      <c r="C109" s="1024" t="str">
        <f>'AnimalHealth&amp;Welfare Management'!L13</f>
        <v>n/a</v>
      </c>
      <c r="D109" s="315"/>
      <c r="E109" s="315"/>
      <c r="F109" s="315"/>
      <c r="G109" s="315"/>
      <c r="H109" s="315"/>
      <c r="I109" s="315"/>
      <c r="J109" s="315"/>
    </row>
    <row r="110" spans="1:10">
      <c r="A110" s="1106"/>
      <c r="B110" s="784" t="s">
        <v>557</v>
      </c>
      <c r="C110" s="1024" t="str">
        <f>'AnimalHealth&amp;Welfare Management'!L14</f>
        <v>n/a</v>
      </c>
      <c r="D110" s="315"/>
      <c r="E110" s="315"/>
      <c r="F110" s="315"/>
      <c r="G110" s="315"/>
      <c r="H110" s="315"/>
      <c r="I110" s="315"/>
      <c r="J110" s="315"/>
    </row>
    <row r="111" spans="1:10">
      <c r="A111" s="1106"/>
      <c r="B111" s="784" t="s">
        <v>372</v>
      </c>
      <c r="C111" s="1024" t="str">
        <f>'AnimalHealth&amp;Welfare Management'!L15</f>
        <v>n/a</v>
      </c>
      <c r="D111" s="315"/>
      <c r="E111" s="315"/>
      <c r="F111" s="315"/>
      <c r="G111" s="315"/>
      <c r="H111" s="315"/>
      <c r="I111" s="315"/>
      <c r="J111" s="315"/>
    </row>
    <row r="112" spans="1:10">
      <c r="A112" s="1107"/>
      <c r="B112" s="803" t="s">
        <v>459</v>
      </c>
      <c r="C112" s="1025" t="str">
        <f>'AnimalHealth&amp;Welfare Management'!L16</f>
        <v>n/a</v>
      </c>
      <c r="D112" s="315"/>
      <c r="E112" s="315"/>
      <c r="F112" s="315"/>
      <c r="G112" s="315"/>
      <c r="H112" s="315"/>
      <c r="I112" s="315"/>
      <c r="J112" s="315"/>
    </row>
    <row r="113" spans="1:10">
      <c r="A113" s="813" t="s">
        <v>1432</v>
      </c>
      <c r="B113" s="802" t="str">
        <f>Governance!H10</f>
        <v>Ethics</v>
      </c>
      <c r="C113" s="1023">
        <f>Governance!M10</f>
        <v>1</v>
      </c>
      <c r="D113" s="315"/>
      <c r="E113" s="315"/>
      <c r="F113" s="315"/>
      <c r="G113" s="315"/>
      <c r="H113" s="315"/>
      <c r="I113" s="315"/>
      <c r="J113" s="315"/>
    </row>
    <row r="114" spans="1:10">
      <c r="A114" s="810"/>
      <c r="B114" s="784" t="str">
        <f>Governance!H11</f>
        <v>Accountability</v>
      </c>
      <c r="C114" s="1024">
        <f>Governance!M11</f>
        <v>1</v>
      </c>
      <c r="D114" s="315"/>
      <c r="E114" s="315"/>
      <c r="F114" s="315"/>
      <c r="G114" s="315"/>
      <c r="H114" s="315"/>
      <c r="I114" s="315"/>
      <c r="J114" s="315"/>
    </row>
    <row r="115" spans="1:10">
      <c r="A115" s="810"/>
      <c r="B115" s="784" t="str">
        <f>Governance!H12</f>
        <v>Participation</v>
      </c>
      <c r="C115" s="1024">
        <f>Governance!M12</f>
        <v>1</v>
      </c>
      <c r="D115" s="315"/>
      <c r="E115" s="315"/>
      <c r="F115" s="315"/>
      <c r="G115" s="315"/>
      <c r="H115" s="315"/>
      <c r="I115" s="315"/>
      <c r="J115" s="315"/>
    </row>
    <row r="116" spans="1:10">
      <c r="A116" s="810"/>
      <c r="B116" s="784" t="str">
        <f>Governance!H13</f>
        <v>Rule of law</v>
      </c>
      <c r="C116" s="1024">
        <f>Governance!M13</f>
        <v>1</v>
      </c>
      <c r="D116" s="315"/>
      <c r="E116" s="315"/>
      <c r="F116" s="315"/>
      <c r="G116" s="315"/>
      <c r="H116" s="315"/>
      <c r="I116" s="315"/>
      <c r="J116" s="315"/>
    </row>
    <row r="117" spans="1:10" ht="15.75" thickBot="1">
      <c r="A117" s="811"/>
      <c r="B117" s="812" t="str">
        <f>Governance!H14</f>
        <v>Holistic management</v>
      </c>
      <c r="C117" s="1027" t="str">
        <f>Governance!M14</f>
        <v>N/A</v>
      </c>
      <c r="D117" s="315"/>
      <c r="E117" s="315"/>
    </row>
    <row r="118" spans="1:10">
      <c r="A118" s="822"/>
      <c r="B118" s="301"/>
      <c r="C118" s="668"/>
      <c r="D118" s="315"/>
      <c r="E118" s="315"/>
    </row>
  </sheetData>
  <sheetProtection algorithmName="SHA-512" hashValue="F2C5yO4bl1W2tyJ52Rk9XlASTOYcs/AZyy5elhMO2aIW1VnkDvnPxxLSgwIVRrfoXmOfd1+dMf3zvZNmBb3mzw==" saltValue="UDeGcMf3BiZRXZYXAEsTIg==" spinCount="100000" sheet="1" objects="1" scenarios="1"/>
  <customSheetViews>
    <customSheetView guid="{7EE74243-CD96-4613-8F82-08E917A91D99}">
      <selection activeCell="E35" sqref="E35"/>
      <pageMargins left="0.7" right="0.7" top="0.75" bottom="0.75" header="0.3" footer="0.3"/>
    </customSheetView>
    <customSheetView guid="{77787C9C-D755-4D99-8252-290109F2917C}" topLeftCell="A45">
      <selection activeCell="E47" sqref="E47"/>
      <pageMargins left="0.7" right="0.7" top="0.75" bottom="0.75" header="0.3" footer="0.3"/>
    </customSheetView>
  </customSheetViews>
  <mergeCells count="12">
    <mergeCell ref="A57:B57"/>
    <mergeCell ref="A107:A112"/>
    <mergeCell ref="A83:A85"/>
    <mergeCell ref="A101:A103"/>
    <mergeCell ref="A105:A106"/>
    <mergeCell ref="A93:A95"/>
    <mergeCell ref="A96:A99"/>
    <mergeCell ref="F66:J66"/>
    <mergeCell ref="F70:H70"/>
    <mergeCell ref="F75:I75"/>
    <mergeCell ref="F68:G68"/>
    <mergeCell ref="F69:G69"/>
  </mergeCells>
  <pageMargins left="0.70866141732283472" right="0.70866141732283472" top="0.74803149606299213" bottom="0.74803149606299213" header="0.31496062992125984" footer="0.31496062992125984"/>
  <pageSetup paperSize="9" scale="75" orientation="portrait" r:id="rId1"/>
  <headerFooter>
    <oddHeader>&amp;L&amp;D</oddHeader>
  </headerFooter>
  <rowBreaks count="1" manualBreakCount="1">
    <brk id="57" max="12" man="1"/>
  </rowBreaks>
  <colBreaks count="1" manualBreakCount="1">
    <brk id="4" max="1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6A49-7314-4824-88AD-B95A01AA9A39}">
  <sheetPr>
    <tabColor rgb="FFFF0000"/>
  </sheetPr>
  <dimension ref="A5:M111"/>
  <sheetViews>
    <sheetView showGridLines="0" view="pageBreakPreview" zoomScale="80" zoomScaleNormal="90" zoomScaleSheetLayoutView="80" workbookViewId="0">
      <selection activeCell="B10" sqref="B10"/>
    </sheetView>
  </sheetViews>
  <sheetFormatPr defaultRowHeight="15"/>
  <cols>
    <col min="1" max="1" width="48.7109375" customWidth="1"/>
    <col min="2" max="2" width="36.7109375" customWidth="1"/>
    <col min="3" max="3" width="11.28515625" bestFit="1" customWidth="1"/>
    <col min="5" max="5" width="6.7109375" customWidth="1"/>
    <col min="6" max="6" width="28.85546875" customWidth="1"/>
    <col min="7" max="7" width="17.7109375" customWidth="1"/>
  </cols>
  <sheetData>
    <row r="5" spans="3:13" ht="28.5">
      <c r="D5" s="819">
        <f>'Initial data collection sheet'!B16</f>
        <v>0</v>
      </c>
      <c r="M5" s="819">
        <f>D5</f>
        <v>0</v>
      </c>
    </row>
    <row r="6" spans="3:13" s="389" customFormat="1" ht="23.25">
      <c r="C6" s="387"/>
      <c r="D6" s="820">
        <f>'Initial data collection sheet'!B17</f>
        <v>0</v>
      </c>
      <c r="E6" s="387"/>
      <c r="F6" s="387"/>
      <c r="G6" s="388"/>
      <c r="M6" s="820">
        <f>D6</f>
        <v>0</v>
      </c>
    </row>
    <row r="46" spans="1:2" ht="15.75" thickBot="1"/>
    <row r="47" spans="1:2" ht="15.75" thickBot="1">
      <c r="A47" s="785" t="s">
        <v>348</v>
      </c>
      <c r="B47" s="786" t="s">
        <v>0</v>
      </c>
    </row>
    <row r="48" spans="1:2">
      <c r="A48" s="787" t="s">
        <v>349</v>
      </c>
      <c r="B48" s="1028">
        <f>'Landscape and Heritage'!J14</f>
        <v>1</v>
      </c>
    </row>
    <row r="49" spans="1:13">
      <c r="A49" s="788" t="s">
        <v>135</v>
      </c>
      <c r="B49" s="1029">
        <f>'Soil management'!J15</f>
        <v>3</v>
      </c>
    </row>
    <row r="50" spans="1:13">
      <c r="A50" s="788" t="s">
        <v>350</v>
      </c>
      <c r="B50" s="1029">
        <f>'Energy and carbon'!M13</f>
        <v>5</v>
      </c>
    </row>
    <row r="51" spans="1:13">
      <c r="A51" s="788" t="s">
        <v>351</v>
      </c>
      <c r="B51" s="1029">
        <f>'Agricultural systems diversity'!M16</f>
        <v>1</v>
      </c>
    </row>
    <row r="52" spans="1:13">
      <c r="A52" s="788" t="s">
        <v>445</v>
      </c>
      <c r="B52" s="1029" t="str">
        <f>C91</f>
        <v>N/A</v>
      </c>
    </row>
    <row r="53" spans="1:13">
      <c r="A53" s="788" t="s">
        <v>352</v>
      </c>
      <c r="B53" s="1029">
        <f>'Social Capital'!K14</f>
        <v>1</v>
      </c>
    </row>
    <row r="54" spans="1:13">
      <c r="A54" s="788" t="s">
        <v>353</v>
      </c>
      <c r="B54" s="1029">
        <f>'Farm Business Resilience'!L14</f>
        <v>1</v>
      </c>
    </row>
    <row r="55" spans="1:13" ht="15.75" thickBot="1">
      <c r="A55" s="818" t="s">
        <v>1432</v>
      </c>
      <c r="B55" s="1030">
        <f>Governance!M15</f>
        <v>1</v>
      </c>
    </row>
    <row r="56" spans="1:13" ht="26.25" customHeight="1">
      <c r="A56" s="1104"/>
      <c r="B56" s="1104"/>
    </row>
    <row r="61" spans="1:13" ht="28.5">
      <c r="D61" s="819">
        <f>D5</f>
        <v>0</v>
      </c>
      <c r="M61" s="819">
        <f>D5</f>
        <v>0</v>
      </c>
    </row>
    <row r="62" spans="1:13" ht="23.25">
      <c r="D62" s="820">
        <f>D6</f>
        <v>0</v>
      </c>
      <c r="M62" s="820">
        <f>D6</f>
        <v>0</v>
      </c>
    </row>
    <row r="64" spans="1:13" ht="15.75" thickBot="1"/>
    <row r="65" spans="1:13" ht="15.75" thickBot="1">
      <c r="A65" s="791" t="s">
        <v>1725</v>
      </c>
      <c r="B65" s="789"/>
      <c r="C65" s="792" t="s">
        <v>1668</v>
      </c>
      <c r="D65" s="786"/>
      <c r="E65" s="300"/>
      <c r="F65" s="1108" t="s">
        <v>1637</v>
      </c>
      <c r="G65" s="1109"/>
      <c r="H65" s="1109"/>
      <c r="I65" s="1109"/>
      <c r="J65" s="1110"/>
      <c r="K65" s="16"/>
      <c r="L65" s="16"/>
      <c r="M65" s="16"/>
    </row>
    <row r="66" spans="1:13" ht="18" customHeight="1">
      <c r="A66" s="793"/>
      <c r="B66" s="1035"/>
      <c r="C66" s="391"/>
      <c r="D66" s="794"/>
      <c r="E66" s="300"/>
      <c r="F66" s="1113" t="s">
        <v>1627</v>
      </c>
      <c r="G66" s="1115" t="e">
        <f>'Initial data collection sheet'!I376</f>
        <v>#DIV/0!</v>
      </c>
      <c r="H66" s="1115"/>
      <c r="I66" s="992"/>
      <c r="J66" s="993"/>
      <c r="K66" s="16"/>
      <c r="L66" s="16"/>
      <c r="M66" s="16"/>
    </row>
    <row r="67" spans="1:13" ht="15" customHeight="1">
      <c r="A67" s="795" t="s">
        <v>598</v>
      </c>
      <c r="B67" s="1031">
        <f>'Initial data collection sheet'!B16:C16</f>
        <v>0</v>
      </c>
      <c r="C67" s="790"/>
      <c r="D67" s="796"/>
      <c r="E67" s="817"/>
      <c r="F67" s="1114"/>
      <c r="G67" s="1116"/>
      <c r="H67" s="1116"/>
      <c r="I67" s="997"/>
      <c r="J67" s="1036"/>
    </row>
    <row r="68" spans="1:13" ht="16.5" customHeight="1" thickBot="1">
      <c r="A68" s="795" t="s">
        <v>600</v>
      </c>
      <c r="B68" s="1031" t="str">
        <f>'Initial data collection sheet'!B18:C18</f>
        <v>owner occupier</v>
      </c>
      <c r="C68" s="790"/>
      <c r="D68" s="796"/>
      <c r="E68" s="817"/>
      <c r="F68" s="1111"/>
      <c r="G68" s="1112"/>
      <c r="H68" s="994"/>
      <c r="I68" s="994"/>
      <c r="J68" s="995"/>
    </row>
    <row r="69" spans="1:13">
      <c r="A69" s="795" t="s">
        <v>1187</v>
      </c>
      <c r="B69" s="1032" t="str">
        <f>'Initial data collection sheet'!B19</f>
        <v>Medium soil</v>
      </c>
      <c r="C69" s="307"/>
      <c r="D69" s="796"/>
      <c r="E69" s="817"/>
      <c r="F69" s="1102"/>
      <c r="G69" s="1103"/>
      <c r="H69" s="997"/>
      <c r="I69" s="997"/>
      <c r="J69" s="998"/>
    </row>
    <row r="70" spans="1:13" ht="15" customHeight="1">
      <c r="A70" s="795" t="s">
        <v>1188</v>
      </c>
      <c r="B70" s="1033">
        <f>'Initial data collection sheet'!B20</f>
        <v>0</v>
      </c>
      <c r="C70" s="29" t="s">
        <v>632</v>
      </c>
      <c r="D70" s="796"/>
      <c r="E70" s="817"/>
      <c r="F70" s="1096" t="s">
        <v>1631</v>
      </c>
      <c r="G70" s="1097"/>
      <c r="H70" s="1097"/>
      <c r="I70" s="997"/>
      <c r="J70" s="998"/>
    </row>
    <row r="71" spans="1:13">
      <c r="A71" s="795" t="s">
        <v>1189</v>
      </c>
      <c r="B71" s="1031">
        <f>'Initial data collection sheet'!B21</f>
        <v>0</v>
      </c>
      <c r="C71" s="32" t="s">
        <v>1192</v>
      </c>
      <c r="D71" s="796"/>
      <c r="E71" s="817"/>
      <c r="F71" s="1000" t="s">
        <v>1628</v>
      </c>
      <c r="G71" s="1001" t="str">
        <f>'NPK budget'!I11</f>
        <v>no data</v>
      </c>
      <c r="H71" s="997" t="s">
        <v>1643</v>
      </c>
      <c r="I71" s="997"/>
      <c r="J71" s="998"/>
    </row>
    <row r="72" spans="1:13" ht="15" customHeight="1">
      <c r="A72" s="797" t="s">
        <v>641</v>
      </c>
      <c r="B72" s="1031">
        <f>'Initial data collection sheet'!B22</f>
        <v>0</v>
      </c>
      <c r="C72" s="32" t="s">
        <v>1193</v>
      </c>
      <c r="D72" s="796"/>
      <c r="E72" s="817"/>
      <c r="F72" s="1000" t="s">
        <v>1629</v>
      </c>
      <c r="G72" s="1001" t="str">
        <f>'NPK budget'!I12</f>
        <v>no data</v>
      </c>
      <c r="H72" s="997" t="s">
        <v>1643</v>
      </c>
      <c r="I72" s="997"/>
      <c r="J72" s="998"/>
    </row>
    <row r="73" spans="1:13">
      <c r="A73" s="795" t="s">
        <v>642</v>
      </c>
      <c r="B73" s="1031">
        <f>'Initial data collection sheet'!B23</f>
        <v>0</v>
      </c>
      <c r="C73" s="32" t="s">
        <v>1193</v>
      </c>
      <c r="D73" s="796"/>
      <c r="E73" s="817"/>
      <c r="F73" s="1000" t="s">
        <v>1630</v>
      </c>
      <c r="G73" s="1001" t="str">
        <f>'NPK budget'!I13</f>
        <v>no data</v>
      </c>
      <c r="H73" s="997" t="s">
        <v>1643</v>
      </c>
      <c r="I73" s="997"/>
      <c r="J73" s="998"/>
    </row>
    <row r="74" spans="1:13">
      <c r="A74" s="795" t="s">
        <v>1641</v>
      </c>
      <c r="B74" s="1031" t="str">
        <f>'Initial data collection sheet'!B24</f>
        <v>higher-level scheme</v>
      </c>
      <c r="C74" s="670"/>
      <c r="D74" s="796"/>
      <c r="E74" s="817"/>
      <c r="F74" s="1002"/>
      <c r="G74" s="1003"/>
      <c r="H74" s="1004"/>
      <c r="I74" s="1004"/>
      <c r="J74" s="1005"/>
    </row>
    <row r="75" spans="1:13" ht="15.75">
      <c r="A75" s="795" t="s">
        <v>1611</v>
      </c>
      <c r="B75" s="1031" t="str">
        <f>'Initial data collection sheet'!B25</f>
        <v>United Kingdom</v>
      </c>
      <c r="C75" s="670"/>
      <c r="D75" s="796"/>
      <c r="E75" s="817"/>
      <c r="F75" s="1098" t="s">
        <v>1726</v>
      </c>
      <c r="G75" s="1099"/>
      <c r="H75" s="1099"/>
      <c r="I75" s="1099"/>
      <c r="J75" s="1006"/>
    </row>
    <row r="76" spans="1:13" ht="34.5" customHeight="1">
      <c r="A76" s="795" t="s">
        <v>1639</v>
      </c>
      <c r="B76" s="1031" t="str">
        <f>'Initial data collection sheet'!B26</f>
        <v>No</v>
      </c>
      <c r="C76" s="670"/>
      <c r="D76" s="796"/>
      <c r="E76" s="817"/>
      <c r="F76" s="1000" t="s">
        <v>136</v>
      </c>
      <c r="G76" s="1007" t="str">
        <f>'Energy and carbon'!D17</f>
        <v>No arable</v>
      </c>
      <c r="H76" s="1008"/>
      <c r="I76" s="1008"/>
      <c r="J76" s="998"/>
    </row>
    <row r="77" spans="1:13" ht="15" customHeight="1">
      <c r="A77" s="795" t="s">
        <v>1640</v>
      </c>
      <c r="B77" s="1031" t="str">
        <f>'Initial data collection sheet'!B27</f>
        <v>Yes</v>
      </c>
      <c r="C77" s="307"/>
      <c r="D77" s="796"/>
      <c r="E77" s="817"/>
      <c r="F77" s="1009" t="s">
        <v>1632</v>
      </c>
      <c r="G77" s="1007" t="str">
        <f>'Energy and carbon'!D26</f>
        <v>No beef or sheep</v>
      </c>
      <c r="H77" s="1008"/>
      <c r="I77" s="1008"/>
      <c r="J77" s="998"/>
    </row>
    <row r="78" spans="1:13">
      <c r="A78" s="795"/>
      <c r="B78" s="996"/>
      <c r="C78" s="307"/>
      <c r="D78" s="796"/>
      <c r="E78" s="817"/>
      <c r="F78" s="1009" t="s">
        <v>138</v>
      </c>
      <c r="G78" s="1007" t="str">
        <f>'Energy and carbon'!D36</f>
        <v>No dairy</v>
      </c>
      <c r="H78" s="1008"/>
      <c r="I78" s="1008"/>
      <c r="J78" s="998"/>
    </row>
    <row r="79" spans="1:13" ht="15.75" thickBot="1">
      <c r="A79" s="798" t="s">
        <v>1638</v>
      </c>
      <c r="B79" s="1034">
        <f>'Initial data collection sheet'!B32</f>
        <v>0</v>
      </c>
      <c r="C79" s="799"/>
      <c r="D79" s="800"/>
      <c r="E79" s="817"/>
      <c r="F79" s="1000" t="s">
        <v>147</v>
      </c>
      <c r="G79" s="1007" t="str">
        <f>'Energy and carbon'!D46</f>
        <v>No pigs</v>
      </c>
      <c r="H79" s="1008"/>
      <c r="I79" s="1008"/>
      <c r="J79" s="998"/>
    </row>
    <row r="80" spans="1:13" ht="15" customHeight="1" thickBot="1">
      <c r="A80" s="801"/>
      <c r="B80" s="315"/>
      <c r="C80" s="315"/>
      <c r="D80" s="315"/>
      <c r="E80" s="315"/>
      <c r="F80" s="1000" t="s">
        <v>1633</v>
      </c>
      <c r="G80" s="1007" t="str">
        <f>'Energy and carbon'!D58</f>
        <v>No layers</v>
      </c>
      <c r="H80" s="1008"/>
      <c r="I80" s="1008"/>
      <c r="J80" s="998"/>
    </row>
    <row r="81" spans="1:10" ht="15" customHeight="1">
      <c r="A81" s="816" t="s">
        <v>354</v>
      </c>
      <c r="B81" s="805" t="s">
        <v>220</v>
      </c>
      <c r="C81" s="806" t="s">
        <v>0</v>
      </c>
      <c r="D81" s="315"/>
      <c r="E81" s="315"/>
      <c r="F81" s="1000" t="s">
        <v>1634</v>
      </c>
      <c r="G81" s="1007" t="str">
        <f>'Energy and carbon'!D59</f>
        <v>No broilers</v>
      </c>
      <c r="H81" s="1008"/>
      <c r="I81" s="1008"/>
      <c r="J81" s="998"/>
    </row>
    <row r="82" spans="1:10" ht="15" customHeight="1">
      <c r="A82" s="1105" t="s">
        <v>252</v>
      </c>
      <c r="B82" s="802" t="str">
        <f>'Landscape and Heritage'!E10</f>
        <v>Historic features</v>
      </c>
      <c r="C82" s="1023" t="str">
        <f>'Landscape and Heritage'!J10</f>
        <v>N/A</v>
      </c>
      <c r="D82" s="315"/>
      <c r="E82" s="315"/>
      <c r="F82" s="1000" t="s">
        <v>1635</v>
      </c>
      <c r="G82" s="1007" t="str">
        <f>'Energy and carbon'!D62</f>
        <v>no domestic</v>
      </c>
      <c r="H82" s="1008"/>
      <c r="I82" s="1008"/>
      <c r="J82" s="998"/>
    </row>
    <row r="83" spans="1:10" ht="15" customHeight="1">
      <c r="A83" s="1106"/>
      <c r="B83" s="784" t="str">
        <f>'Landscape and Heritage'!E11</f>
        <v>Landscape management</v>
      </c>
      <c r="C83" s="1024">
        <f>'Landscape and Heritage'!J11</f>
        <v>1</v>
      </c>
      <c r="D83" s="315"/>
      <c r="E83" s="315"/>
      <c r="F83" s="1010"/>
      <c r="G83" s="1008"/>
      <c r="H83" s="1008"/>
      <c r="I83" s="1008"/>
      <c r="J83" s="998"/>
    </row>
    <row r="84" spans="1:10" ht="30.75" customHeight="1">
      <c r="A84" s="1106"/>
      <c r="B84" s="784" t="str">
        <f>'Landscape and Heritage'!E12</f>
        <v>Management of boundaries</v>
      </c>
      <c r="C84" s="1024">
        <f>'Landscape and Heritage'!J12</f>
        <v>1</v>
      </c>
      <c r="D84" s="315"/>
      <c r="E84" s="315"/>
      <c r="F84" s="1011" t="s">
        <v>1784</v>
      </c>
      <c r="G84" s="1012" t="e">
        <f>'Energy and carbon'!B69</f>
        <v>#DIV/0!</v>
      </c>
      <c r="H84" s="1013"/>
      <c r="I84" s="1013"/>
      <c r="J84" s="1005"/>
    </row>
    <row r="85" spans="1:10" ht="14.25" customHeight="1">
      <c r="A85" s="807"/>
      <c r="B85" s="803" t="s">
        <v>1213</v>
      </c>
      <c r="C85" s="1025" t="str">
        <f>'Landscape and Heritage'!J13</f>
        <v>N/A</v>
      </c>
      <c r="D85" s="315"/>
      <c r="E85" s="315"/>
      <c r="F85" s="1014"/>
      <c r="G85" s="1015"/>
      <c r="H85" s="1015"/>
      <c r="I85" s="1015"/>
      <c r="J85" s="1006"/>
    </row>
    <row r="86" spans="1:10" ht="15.75">
      <c r="A86" s="815" t="s">
        <v>135</v>
      </c>
      <c r="B86" s="802" t="s">
        <v>75</v>
      </c>
      <c r="C86" s="1023">
        <f>'Soil management'!J10</f>
        <v>1</v>
      </c>
      <c r="D86" s="315"/>
      <c r="E86" s="315"/>
      <c r="F86" s="999" t="s">
        <v>1727</v>
      </c>
      <c r="G86" s="1016">
        <f>'Energy and carbon'!E75/1000</f>
        <v>0</v>
      </c>
      <c r="H86" s="1008" t="s">
        <v>1728</v>
      </c>
      <c r="I86" s="1008"/>
      <c r="J86" s="998"/>
    </row>
    <row r="87" spans="1:10">
      <c r="A87" s="808"/>
      <c r="B87" s="784" t="s">
        <v>135</v>
      </c>
      <c r="C87" s="1024" t="str">
        <f>'Soil management'!J11</f>
        <v>N/A</v>
      </c>
      <c r="D87" s="315"/>
      <c r="E87" s="315"/>
      <c r="F87" s="1017"/>
      <c r="G87" s="1015"/>
      <c r="H87" s="1015"/>
      <c r="I87" s="1015"/>
      <c r="J87" s="1006"/>
    </row>
    <row r="88" spans="1:10">
      <c r="A88" s="808"/>
      <c r="B88" s="784" t="s">
        <v>363</v>
      </c>
      <c r="C88" s="1024" t="str">
        <f>'Soil management'!J12</f>
        <v>N/A</v>
      </c>
      <c r="D88" s="315"/>
      <c r="E88" s="315"/>
      <c r="F88" s="1018" t="s">
        <v>1636</v>
      </c>
      <c r="G88" s="1016">
        <f>SUM('Social Capital'!B13,'Social Capital'!B14)+'Social Capital'!B12/2200</f>
        <v>0</v>
      </c>
      <c r="H88" s="1008"/>
      <c r="I88" s="1008"/>
      <c r="J88" s="998"/>
    </row>
    <row r="89" spans="1:10">
      <c r="A89" s="808"/>
      <c r="B89" s="784" t="s">
        <v>134</v>
      </c>
      <c r="C89" s="1024">
        <f>'Soil management'!J13</f>
        <v>5</v>
      </c>
      <c r="D89" s="315"/>
      <c r="E89" s="315"/>
      <c r="F89" s="1019"/>
      <c r="G89" s="1008"/>
      <c r="H89" s="1008"/>
      <c r="I89" s="1008"/>
      <c r="J89" s="998"/>
    </row>
    <row r="90" spans="1:10" ht="15.75" thickBot="1">
      <c r="A90" s="809"/>
      <c r="B90" s="803" t="s">
        <v>132</v>
      </c>
      <c r="C90" s="1025" t="str">
        <f>'Soil management'!J14</f>
        <v>N/A</v>
      </c>
      <c r="D90" s="315"/>
      <c r="E90" s="315"/>
      <c r="F90" s="1020"/>
      <c r="G90" s="1021"/>
      <c r="H90" s="1021"/>
      <c r="I90" s="1021"/>
      <c r="J90" s="1022"/>
    </row>
    <row r="91" spans="1:10">
      <c r="A91" s="814" t="s">
        <v>1642</v>
      </c>
      <c r="B91" s="804" t="s">
        <v>445</v>
      </c>
      <c r="C91" s="1026" t="str">
        <f>'NPK budget'!J14</f>
        <v>N/A</v>
      </c>
      <c r="D91" s="315"/>
      <c r="E91" s="315"/>
      <c r="F91" s="315"/>
      <c r="G91" s="315"/>
      <c r="H91" s="315"/>
      <c r="I91" s="315"/>
      <c r="J91" s="315"/>
    </row>
    <row r="92" spans="1:10">
      <c r="A92" s="1105" t="s">
        <v>350</v>
      </c>
      <c r="B92" s="802" t="s">
        <v>446</v>
      </c>
      <c r="C92" s="1023" t="str">
        <f>'Energy and carbon'!F64</f>
        <v>N/A</v>
      </c>
      <c r="D92" s="315"/>
      <c r="E92" s="315"/>
      <c r="F92" s="315"/>
      <c r="G92" s="315"/>
      <c r="H92" s="315"/>
      <c r="I92" s="315"/>
      <c r="J92" s="315"/>
    </row>
    <row r="93" spans="1:10">
      <c r="A93" s="1106"/>
      <c r="B93" s="784" t="s">
        <v>358</v>
      </c>
      <c r="C93" s="1024">
        <f>'Energy and carbon'!F92</f>
        <v>5</v>
      </c>
      <c r="D93" s="315"/>
      <c r="E93" s="315"/>
      <c r="F93" s="315"/>
      <c r="G93" s="315"/>
      <c r="H93" s="315"/>
      <c r="I93" s="315"/>
      <c r="J93" s="315"/>
    </row>
    <row r="94" spans="1:10">
      <c r="A94" s="1107"/>
      <c r="B94" s="803" t="s">
        <v>150</v>
      </c>
      <c r="C94" s="1025" t="str">
        <f>'Energy and carbon'!F69</f>
        <v>N/A</v>
      </c>
      <c r="D94" s="315"/>
      <c r="E94" s="315"/>
      <c r="F94" s="315"/>
      <c r="G94" s="315"/>
      <c r="H94" s="315"/>
      <c r="I94" s="315"/>
      <c r="J94" s="315"/>
    </row>
    <row r="95" spans="1:10">
      <c r="A95" s="1105" t="s">
        <v>351</v>
      </c>
      <c r="B95" s="802" t="s">
        <v>224</v>
      </c>
      <c r="C95" s="1023" t="str">
        <f>'Agricultural systems diversity'!M11</f>
        <v>N/A</v>
      </c>
      <c r="D95" s="315"/>
      <c r="E95" s="315"/>
      <c r="F95" s="315"/>
      <c r="G95" s="315"/>
      <c r="H95" s="315"/>
      <c r="I95" s="311"/>
      <c r="J95" s="315"/>
    </row>
    <row r="96" spans="1:10">
      <c r="A96" s="1106"/>
      <c r="B96" s="784" t="s">
        <v>180</v>
      </c>
      <c r="C96" s="1024" t="str">
        <f>'Agricultural systems diversity'!M12</f>
        <v>N/A</v>
      </c>
      <c r="D96" s="315"/>
      <c r="E96" s="315"/>
      <c r="F96" s="315"/>
      <c r="G96" s="315"/>
      <c r="H96" s="315"/>
      <c r="I96" s="315"/>
      <c r="J96" s="315"/>
    </row>
    <row r="97" spans="1:10" ht="15.75" customHeight="1">
      <c r="A97" s="1106"/>
      <c r="B97" s="784" t="s">
        <v>225</v>
      </c>
      <c r="C97" s="1024">
        <f>'Agricultural systems diversity'!M14</f>
        <v>1</v>
      </c>
      <c r="D97" s="315"/>
      <c r="E97" s="315"/>
      <c r="F97" s="315"/>
      <c r="G97" s="315"/>
      <c r="H97" s="315"/>
      <c r="I97" s="315"/>
      <c r="J97" s="315"/>
    </row>
    <row r="98" spans="1:10" ht="15.75" customHeight="1">
      <c r="A98" s="1106"/>
      <c r="B98" s="784" t="s">
        <v>447</v>
      </c>
      <c r="C98" s="1024">
        <f>'Agricultural systems diversity'!M15</f>
        <v>1</v>
      </c>
      <c r="D98" s="315"/>
      <c r="E98" s="315"/>
      <c r="F98" s="315"/>
      <c r="G98" s="315"/>
      <c r="H98" s="315"/>
      <c r="I98" s="315"/>
      <c r="J98" s="315"/>
    </row>
    <row r="99" spans="1:10">
      <c r="A99" s="807"/>
      <c r="B99" s="803" t="str">
        <f>'Agricultural systems diversity'!H13</f>
        <v>Woody perennial land area</v>
      </c>
      <c r="C99" s="1025" t="str">
        <f>'Agricultural systems diversity'!M13</f>
        <v>N/A</v>
      </c>
      <c r="D99" s="315"/>
      <c r="E99" s="315"/>
      <c r="F99" s="315"/>
      <c r="G99" s="315"/>
      <c r="H99" s="315"/>
      <c r="I99" s="315"/>
      <c r="J99" s="315"/>
    </row>
    <row r="100" spans="1:10">
      <c r="A100" s="1105" t="s">
        <v>352</v>
      </c>
      <c r="B100" s="802" t="s">
        <v>10</v>
      </c>
      <c r="C100" s="1023" t="str">
        <f>'Social Capital'!K10</f>
        <v>N/A</v>
      </c>
      <c r="D100" s="315"/>
      <c r="E100" s="315"/>
      <c r="F100" s="315"/>
      <c r="G100" s="315"/>
      <c r="H100" s="315"/>
      <c r="I100" s="315"/>
      <c r="J100" s="315"/>
    </row>
    <row r="101" spans="1:10">
      <c r="A101" s="1106"/>
      <c r="B101" s="784" t="s">
        <v>11</v>
      </c>
      <c r="C101" s="1024">
        <f>'Social Capital'!K11</f>
        <v>1</v>
      </c>
      <c r="D101" s="315"/>
      <c r="E101" s="315"/>
      <c r="F101" s="315"/>
      <c r="G101" s="315"/>
      <c r="H101" s="315"/>
      <c r="I101" s="315"/>
      <c r="J101" s="315"/>
    </row>
    <row r="102" spans="1:10">
      <c r="A102" s="1106"/>
      <c r="B102" s="784" t="s">
        <v>12</v>
      </c>
      <c r="C102" s="1024">
        <f>'Social Capital'!K12</f>
        <v>1</v>
      </c>
      <c r="D102" s="315"/>
      <c r="E102" s="315"/>
      <c r="F102" s="315"/>
      <c r="G102" s="315"/>
      <c r="H102" s="315"/>
      <c r="I102" s="315"/>
      <c r="J102" s="315"/>
    </row>
    <row r="103" spans="1:10">
      <c r="A103" s="807"/>
      <c r="B103" s="803" t="s">
        <v>1176</v>
      </c>
      <c r="C103" s="1025">
        <f>'Social Capital'!F39</f>
        <v>1</v>
      </c>
      <c r="D103" s="315"/>
      <c r="E103" s="315"/>
      <c r="F103" s="315"/>
      <c r="G103" s="315"/>
      <c r="H103" s="315"/>
      <c r="I103" s="315"/>
      <c r="J103" s="315"/>
    </row>
    <row r="104" spans="1:10">
      <c r="A104" s="1105" t="s">
        <v>353</v>
      </c>
      <c r="B104" s="802" t="s">
        <v>17</v>
      </c>
      <c r="C104" s="1023">
        <f>'Farm Business Resilience'!L12</f>
        <v>1</v>
      </c>
      <c r="D104" s="315"/>
      <c r="E104" s="315"/>
      <c r="F104" s="315"/>
      <c r="G104" s="315"/>
      <c r="H104" s="315"/>
      <c r="I104" s="315"/>
      <c r="J104" s="315"/>
    </row>
    <row r="105" spans="1:10">
      <c r="A105" s="1107"/>
      <c r="B105" s="803" t="s">
        <v>18</v>
      </c>
      <c r="C105" s="1025">
        <f>'Farm Business Resilience'!L13</f>
        <v>1</v>
      </c>
      <c r="D105" s="315"/>
      <c r="E105" s="315"/>
      <c r="F105" s="315"/>
      <c r="G105" s="315"/>
      <c r="H105" s="315"/>
      <c r="I105" s="315"/>
      <c r="J105" s="315"/>
    </row>
    <row r="106" spans="1:10">
      <c r="A106" s="813" t="s">
        <v>1432</v>
      </c>
      <c r="B106" s="802" t="str">
        <f>Governance!H10</f>
        <v>Ethics</v>
      </c>
      <c r="C106" s="1023">
        <f>Governance!M10</f>
        <v>1</v>
      </c>
      <c r="D106" s="315"/>
      <c r="E106" s="315"/>
      <c r="F106" s="315"/>
      <c r="G106" s="315"/>
      <c r="H106" s="315"/>
      <c r="I106" s="315"/>
      <c r="J106" s="315"/>
    </row>
    <row r="107" spans="1:10">
      <c r="A107" s="810"/>
      <c r="B107" s="784" t="str">
        <f>Governance!H11</f>
        <v>Accountability</v>
      </c>
      <c r="C107" s="1024">
        <f>Governance!M11</f>
        <v>1</v>
      </c>
      <c r="D107" s="315"/>
      <c r="E107" s="315"/>
      <c r="F107" s="315"/>
      <c r="G107" s="315"/>
      <c r="H107" s="315"/>
      <c r="I107" s="315"/>
      <c r="J107" s="315"/>
    </row>
    <row r="108" spans="1:10">
      <c r="A108" s="810"/>
      <c r="B108" s="784" t="str">
        <f>Governance!H12</f>
        <v>Participation</v>
      </c>
      <c r="C108" s="1024">
        <f>Governance!M12</f>
        <v>1</v>
      </c>
      <c r="D108" s="315"/>
      <c r="E108" s="315"/>
      <c r="F108" s="315"/>
      <c r="G108" s="315"/>
      <c r="H108" s="315"/>
      <c r="I108" s="315"/>
      <c r="J108" s="315"/>
    </row>
    <row r="109" spans="1:10">
      <c r="A109" s="810"/>
      <c r="B109" s="784" t="str">
        <f>Governance!H13</f>
        <v>Rule of law</v>
      </c>
      <c r="C109" s="1024">
        <f>Governance!M13</f>
        <v>1</v>
      </c>
      <c r="D109" s="315"/>
      <c r="E109" s="315"/>
      <c r="F109" s="315"/>
      <c r="G109" s="315"/>
      <c r="H109" s="315"/>
      <c r="I109" s="315"/>
      <c r="J109" s="315"/>
    </row>
    <row r="110" spans="1:10" ht="15.75" thickBot="1">
      <c r="A110" s="811"/>
      <c r="B110" s="812" t="str">
        <f>Governance!H14</f>
        <v>Holistic management</v>
      </c>
      <c r="C110" s="1027" t="str">
        <f>Governance!M14</f>
        <v>N/A</v>
      </c>
      <c r="D110" s="315"/>
      <c r="E110" s="315"/>
      <c r="F110" s="315"/>
      <c r="G110" s="315"/>
      <c r="H110" s="315"/>
      <c r="I110" s="315"/>
      <c r="J110" s="315"/>
    </row>
    <row r="111" spans="1:10">
      <c r="A111" s="822"/>
      <c r="B111" s="301"/>
      <c r="C111" s="668"/>
      <c r="D111" s="315"/>
      <c r="E111" s="315"/>
    </row>
  </sheetData>
  <sheetProtection algorithmName="SHA-512" hashValue="JSbOnQ9L23pgjqU2N9SPF/EN4Tfd4YHPGOrVUx8upPjcXV+rlPFlajIAFVmpaJCY7+5YJZbGUeByOptDHja0zg==" saltValue="PhVsxJVhdzxAUL1jQJKEJg==" spinCount="100000" sheet="1" objects="1" scenarios="1"/>
  <mergeCells count="13">
    <mergeCell ref="A104:A105"/>
    <mergeCell ref="A56:B56"/>
    <mergeCell ref="F65:J65"/>
    <mergeCell ref="F68:G68"/>
    <mergeCell ref="F69:G69"/>
    <mergeCell ref="F70:H70"/>
    <mergeCell ref="F75:I75"/>
    <mergeCell ref="A82:A84"/>
    <mergeCell ref="A92:A94"/>
    <mergeCell ref="A95:A98"/>
    <mergeCell ref="A100:A102"/>
    <mergeCell ref="F66:F67"/>
    <mergeCell ref="G66:H67"/>
  </mergeCells>
  <pageMargins left="0.70866141732283472" right="0.70866141732283472" top="0.74803149606299213" bottom="0.74803149606299213" header="0.31496062992125984" footer="0.31496062992125984"/>
  <pageSetup paperSize="9" scale="78" orientation="portrait" r:id="rId1"/>
  <headerFooter>
    <oddHeader>&amp;L&amp;D</oddHeader>
  </headerFooter>
  <rowBreaks count="1" manualBreakCount="1">
    <brk id="56" max="12" man="1"/>
  </rowBreaks>
  <colBreaks count="1" manualBreakCount="1">
    <brk id="4" max="10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476"/>
  <sheetViews>
    <sheetView topLeftCell="B1" workbookViewId="0">
      <selection activeCell="B36" sqref="B36"/>
    </sheetView>
  </sheetViews>
  <sheetFormatPr defaultColWidth="10.140625" defaultRowHeight="18" customHeight="1"/>
  <cols>
    <col min="1" max="1" width="0" style="84" hidden="1" customWidth="1"/>
    <col min="2" max="2" width="33.28515625" style="84" customWidth="1"/>
    <col min="3" max="16384" width="10.140625" style="84"/>
  </cols>
  <sheetData>
    <row r="1" spans="1:39" ht="18" customHeight="1" thickBot="1">
      <c r="B1" s="239" t="s">
        <v>1162</v>
      </c>
    </row>
    <row r="2" spans="1:39" s="185" customFormat="1" ht="12.75">
      <c r="A2" s="203" t="s">
        <v>1143</v>
      </c>
      <c r="B2" s="185" t="str">
        <f>CONCATENATE("FARM CLASSIFICATION  ",'[8]Section A'!I1)</f>
        <v>FARM CLASSIFICATION  2009/10</v>
      </c>
      <c r="C2" s="235"/>
      <c r="D2" s="238"/>
      <c r="H2" s="186" t="s">
        <v>1142</v>
      </c>
      <c r="L2" s="186"/>
      <c r="M2" s="237"/>
      <c r="N2" s="186"/>
      <c r="S2" s="186" t="s">
        <v>1141</v>
      </c>
      <c r="T2" s="186"/>
      <c r="U2" s="186"/>
      <c r="V2" s="186"/>
      <c r="W2" s="186" t="s">
        <v>1140</v>
      </c>
      <c r="X2" s="186"/>
      <c r="Y2" s="236"/>
      <c r="Z2" s="236" t="s">
        <v>1139</v>
      </c>
      <c r="AA2" s="236"/>
      <c r="AB2" s="236"/>
      <c r="AG2" s="185" t="s">
        <v>1138</v>
      </c>
      <c r="AL2" s="186"/>
      <c r="AM2" s="186"/>
    </row>
    <row r="3" spans="1:39" s="185" customFormat="1" ht="12.75">
      <c r="A3" s="203" t="s">
        <v>1137</v>
      </c>
      <c r="D3" s="235"/>
      <c r="H3" s="230" t="s">
        <v>832</v>
      </c>
      <c r="I3" s="191"/>
      <c r="J3" s="234" t="s">
        <v>1136</v>
      </c>
      <c r="K3" s="234" t="s">
        <v>1135</v>
      </c>
      <c r="L3" s="233" t="s">
        <v>1134</v>
      </c>
      <c r="O3" s="234" t="s">
        <v>1136</v>
      </c>
      <c r="P3" s="234" t="s">
        <v>1135</v>
      </c>
      <c r="Q3" s="233" t="s">
        <v>1134</v>
      </c>
      <c r="S3" s="186" t="e">
        <f>IF(AND($J68&gt;0,$J68&lt;=9599),1,0)</f>
        <v>#REF!</v>
      </c>
      <c r="T3" s="186" t="s">
        <v>1133</v>
      </c>
      <c r="U3" s="186"/>
      <c r="V3" s="186"/>
      <c r="W3" s="186">
        <v>1</v>
      </c>
      <c r="X3" s="186" t="s">
        <v>1132</v>
      </c>
      <c r="Z3" s="185">
        <v>0</v>
      </c>
      <c r="AA3" s="185" t="s">
        <v>1131</v>
      </c>
      <c r="AL3" s="186"/>
      <c r="AM3" s="186"/>
    </row>
    <row r="4" spans="1:39" s="185" customFormat="1" ht="12.75">
      <c r="A4" s="203" t="s">
        <v>1130</v>
      </c>
      <c r="B4" s="201" t="s">
        <v>1129</v>
      </c>
      <c r="C4" s="232">
        <f>S105</f>
        <v>0</v>
      </c>
      <c r="D4" s="224"/>
      <c r="E4" s="215">
        <f>VLOOKUP(C4,P157:Q183,2)</f>
        <v>0</v>
      </c>
      <c r="F4" s="227"/>
      <c r="G4" s="186"/>
      <c r="H4" s="222" t="s">
        <v>887</v>
      </c>
      <c r="I4" s="231"/>
      <c r="J4" s="220" t="e">
        <f t="shared" ref="J4:K11" si="0">J47</f>
        <v>#REF!</v>
      </c>
      <c r="K4" s="220" t="e">
        <f t="shared" si="0"/>
        <v>#REF!</v>
      </c>
      <c r="L4" s="219" t="e">
        <f>IF(J4=0,0,J4/J68)</f>
        <v>#REF!</v>
      </c>
      <c r="M4" s="230" t="s">
        <v>865</v>
      </c>
      <c r="N4" s="191"/>
      <c r="O4" s="220" t="e">
        <f t="shared" ref="O4:P7" si="1">J55</f>
        <v>#REF!</v>
      </c>
      <c r="P4" s="220" t="e">
        <f t="shared" si="1"/>
        <v>#REF!</v>
      </c>
      <c r="Q4" s="219"/>
      <c r="S4" s="186" t="e">
        <f>IF(AND($J68&gt;=9600,$J68&lt;=19199),2,0)</f>
        <v>#REF!</v>
      </c>
      <c r="T4" s="186" t="s">
        <v>1128</v>
      </c>
      <c r="U4" s="186"/>
      <c r="V4" s="186"/>
      <c r="W4" s="186">
        <v>2</v>
      </c>
      <c r="X4" s="186" t="s">
        <v>1127</v>
      </c>
      <c r="Z4" s="185">
        <v>1</v>
      </c>
      <c r="AA4" s="185" t="s">
        <v>1126</v>
      </c>
      <c r="AG4" s="229"/>
      <c r="AH4" s="229"/>
      <c r="AI4" s="229"/>
      <c r="AJ4" s="229"/>
      <c r="AK4" s="229"/>
      <c r="AL4" s="186"/>
      <c r="AM4" s="186"/>
    </row>
    <row r="5" spans="1:39" s="185" customFormat="1" ht="12.75">
      <c r="A5" s="203" t="s">
        <v>1125</v>
      </c>
      <c r="B5" s="201" t="s">
        <v>1124</v>
      </c>
      <c r="C5" s="201" t="e">
        <f>R105</f>
        <v>#REF!</v>
      </c>
      <c r="D5" s="224"/>
      <c r="H5" s="222" t="s">
        <v>885</v>
      </c>
      <c r="I5" s="189"/>
      <c r="J5" s="220" t="e">
        <f t="shared" si="0"/>
        <v>#REF!</v>
      </c>
      <c r="K5" s="220" t="e">
        <f t="shared" si="0"/>
        <v>#REF!</v>
      </c>
      <c r="L5" s="219"/>
      <c r="M5" s="222" t="s">
        <v>863</v>
      </c>
      <c r="N5" s="189"/>
      <c r="O5" s="220" t="e">
        <f t="shared" si="1"/>
        <v>#REF!</v>
      </c>
      <c r="P5" s="220" t="e">
        <f t="shared" si="1"/>
        <v>#REF!</v>
      </c>
      <c r="Q5" s="219"/>
      <c r="S5" s="186" t="e">
        <f>IF(AND($J68&gt;=19200,$J68&lt;=33599),3,0)</f>
        <v>#REF!</v>
      </c>
      <c r="T5" s="186" t="s">
        <v>1123</v>
      </c>
      <c r="U5" s="186"/>
      <c r="V5" s="186"/>
      <c r="W5" s="186">
        <v>3</v>
      </c>
      <c r="X5" s="186" t="s">
        <v>1122</v>
      </c>
      <c r="Z5" s="185">
        <v>2</v>
      </c>
      <c r="AA5" s="185" t="s">
        <v>1121</v>
      </c>
      <c r="AG5" s="229"/>
      <c r="AH5" s="229"/>
      <c r="AI5" s="229"/>
      <c r="AJ5" s="229"/>
      <c r="AK5" s="229"/>
      <c r="AL5" s="186"/>
      <c r="AM5" s="186"/>
    </row>
    <row r="6" spans="1:39" s="185" customFormat="1" ht="12.75">
      <c r="A6" s="203" t="s">
        <v>1120</v>
      </c>
      <c r="B6" s="201" t="s">
        <v>1119</v>
      </c>
      <c r="C6" s="228" t="e">
        <f>J68</f>
        <v>#REF!</v>
      </c>
      <c r="D6" s="224"/>
      <c r="E6" s="215" t="s">
        <v>1118</v>
      </c>
      <c r="F6" s="227" t="e">
        <f>C6/1200</f>
        <v>#REF!</v>
      </c>
      <c r="H6" s="222" t="s">
        <v>882</v>
      </c>
      <c r="I6" s="189"/>
      <c r="J6" s="220" t="e">
        <f t="shared" si="0"/>
        <v>#REF!</v>
      </c>
      <c r="K6" s="220" t="e">
        <f t="shared" si="0"/>
        <v>#REF!</v>
      </c>
      <c r="L6" s="219"/>
      <c r="M6" s="222" t="s">
        <v>861</v>
      </c>
      <c r="N6" s="189"/>
      <c r="O6" s="220" t="e">
        <f t="shared" si="1"/>
        <v>#REF!</v>
      </c>
      <c r="P6" s="220" t="e">
        <f t="shared" si="1"/>
        <v>#REF!</v>
      </c>
      <c r="Q6" s="219"/>
      <c r="S6" s="186" t="e">
        <f>IF(AND($J68&gt;=33600,$J68&lt;=47999),4,0)</f>
        <v>#REF!</v>
      </c>
      <c r="T6" s="186" t="s">
        <v>1117</v>
      </c>
      <c r="U6" s="186"/>
      <c r="V6" s="186"/>
      <c r="W6" s="186">
        <v>4</v>
      </c>
      <c r="X6" s="186" t="s">
        <v>1116</v>
      </c>
      <c r="Z6" s="185">
        <v>3</v>
      </c>
      <c r="AA6" s="185" t="s">
        <v>1115</v>
      </c>
      <c r="AG6" s="225"/>
      <c r="AH6" s="226" t="s">
        <v>1114</v>
      </c>
      <c r="AI6" s="225" t="s">
        <v>1113</v>
      </c>
      <c r="AJ6" s="225" t="s">
        <v>1112</v>
      </c>
      <c r="AK6" s="225" t="s">
        <v>1111</v>
      </c>
      <c r="AL6" s="186"/>
      <c r="AM6" s="186"/>
    </row>
    <row r="7" spans="1:39" s="185" customFormat="1" ht="12.75">
      <c r="A7" s="203" t="s">
        <v>1110</v>
      </c>
      <c r="D7" s="224"/>
      <c r="H7" s="222" t="s">
        <v>881</v>
      </c>
      <c r="I7" s="189"/>
      <c r="J7" s="220" t="e">
        <f t="shared" si="0"/>
        <v>#REF!</v>
      </c>
      <c r="K7" s="220" t="e">
        <f t="shared" si="0"/>
        <v>#REF!</v>
      </c>
      <c r="L7" s="219"/>
      <c r="M7" s="221" t="s">
        <v>860</v>
      </c>
      <c r="N7" s="199"/>
      <c r="O7" s="220" t="e">
        <f t="shared" si="1"/>
        <v>#REF!</v>
      </c>
      <c r="P7" s="220" t="e">
        <f t="shared" si="1"/>
        <v>#REF!</v>
      </c>
      <c r="Q7" s="219" t="e">
        <f>IF(SUM(O4:O7)=0,0,SUM(O4:O7)/J68)</f>
        <v>#REF!</v>
      </c>
      <c r="S7" s="186" t="e">
        <f>IF(AND($J68&gt;=48000,$J68&lt;=71999),5,0)</f>
        <v>#REF!</v>
      </c>
      <c r="T7" s="186" t="s">
        <v>1109</v>
      </c>
      <c r="U7" s="186"/>
      <c r="V7" s="186"/>
      <c r="W7" s="186">
        <v>5</v>
      </c>
      <c r="X7" s="186" t="s">
        <v>1108</v>
      </c>
      <c r="Z7" s="185">
        <v>5</v>
      </c>
      <c r="AA7" s="185" t="s">
        <v>1107</v>
      </c>
      <c r="AG7" s="185" t="s">
        <v>1106</v>
      </c>
      <c r="AH7" s="185">
        <v>20</v>
      </c>
      <c r="AI7" s="187">
        <f>SUM('FBS classification '!D115:E128)</f>
        <v>0</v>
      </c>
      <c r="AJ7" s="187">
        <f t="shared" ref="AJ7:AJ43" si="2">ROUND(AH7* AI7,2)</f>
        <v>0</v>
      </c>
      <c r="AK7" s="185" t="s">
        <v>1105</v>
      </c>
      <c r="AL7" s="186"/>
      <c r="AM7" s="186"/>
    </row>
    <row r="8" spans="1:39" s="185" customFormat="1" ht="12.75">
      <c r="A8" s="203" t="s">
        <v>829</v>
      </c>
      <c r="E8" s="215" t="s">
        <v>1104</v>
      </c>
      <c r="F8" s="223">
        <f>ROUND('FBS classification '!AJ45/1900,6)</f>
        <v>0</v>
      </c>
      <c r="H8" s="222" t="s">
        <v>879</v>
      </c>
      <c r="I8" s="189"/>
      <c r="J8" s="220" t="e">
        <f t="shared" si="0"/>
        <v>#REF!</v>
      </c>
      <c r="K8" s="220" t="e">
        <f t="shared" si="0"/>
        <v>#REF!</v>
      </c>
      <c r="L8" s="219"/>
      <c r="S8" s="186" t="e">
        <f>IF(AND($J68&gt;=72000,$J68&lt;=119999),6,0)</f>
        <v>#REF!</v>
      </c>
      <c r="T8" s="186" t="s">
        <v>1103</v>
      </c>
      <c r="U8" s="186"/>
      <c r="V8" s="186"/>
      <c r="W8" s="186">
        <v>6</v>
      </c>
      <c r="X8" s="186" t="s">
        <v>1102</v>
      </c>
      <c r="AG8" s="185" t="s">
        <v>1101</v>
      </c>
      <c r="AH8" s="185">
        <v>15</v>
      </c>
      <c r="AI8" s="187">
        <f>SUM('FBS classification '!D139:E148)+SUM('FBS classification '!D150:E152)</f>
        <v>0</v>
      </c>
      <c r="AJ8" s="187">
        <f t="shared" si="2"/>
        <v>0</v>
      </c>
      <c r="AK8" s="185" t="s">
        <v>1100</v>
      </c>
      <c r="AL8" s="186"/>
      <c r="AM8" s="186"/>
    </row>
    <row r="9" spans="1:39" s="185" customFormat="1" ht="12.75">
      <c r="A9" s="203" t="s">
        <v>804</v>
      </c>
      <c r="B9" s="201" t="s">
        <v>1099</v>
      </c>
      <c r="C9" s="201">
        <f>C72</f>
        <v>0</v>
      </c>
      <c r="H9" s="222" t="s">
        <v>875</v>
      </c>
      <c r="I9" s="189"/>
      <c r="J9" s="220" t="e">
        <f t="shared" si="0"/>
        <v>#REF!</v>
      </c>
      <c r="K9" s="220" t="e">
        <f t="shared" si="0"/>
        <v>#REF!</v>
      </c>
      <c r="L9" s="219"/>
      <c r="S9" s="186" t="e">
        <f>IF(AND($J68&gt;=120000,$J68&lt;=239999),7,0)</f>
        <v>#REF!</v>
      </c>
      <c r="T9" s="186" t="s">
        <v>1098</v>
      </c>
      <c r="U9" s="186"/>
      <c r="V9" s="186"/>
      <c r="W9" s="186">
        <v>7</v>
      </c>
      <c r="X9" s="186" t="s">
        <v>1097</v>
      </c>
      <c r="AG9" s="185" t="s">
        <v>992</v>
      </c>
      <c r="AH9" s="185">
        <v>60</v>
      </c>
      <c r="AI9" s="187">
        <f>SUM('FBS classification '!D149:E149)</f>
        <v>0</v>
      </c>
      <c r="AJ9" s="187">
        <f t="shared" si="2"/>
        <v>0</v>
      </c>
      <c r="AK9" s="185" t="s">
        <v>1096</v>
      </c>
      <c r="AL9" s="186"/>
      <c r="AM9" s="186"/>
    </row>
    <row r="10" spans="1:39" s="185" customFormat="1" ht="12.75">
      <c r="A10" s="203" t="s">
        <v>1095</v>
      </c>
      <c r="B10" s="201" t="s">
        <v>1094</v>
      </c>
      <c r="C10" s="200" t="e">
        <f>IF('Initial data collection sheet'!B25='Initial data collection sheet'!#REF!,411,IF('Initial data collection sheet'!B25='Initial data collection sheet'!#REF!,412,IF('Initial data collection sheet'!B25='Initial data collection sheet'!#REF!,413,"invalid data")))</f>
        <v>#REF!</v>
      </c>
      <c r="E10" s="215" t="s">
        <v>1093</v>
      </c>
      <c r="F10" s="223" t="e">
        <f>VLOOKUP(S11,W2:X10,2)</f>
        <v>#REF!</v>
      </c>
      <c r="H10" s="222" t="s">
        <v>871</v>
      </c>
      <c r="I10" s="189"/>
      <c r="J10" s="220" t="e">
        <f t="shared" si="0"/>
        <v>#REF!</v>
      </c>
      <c r="K10" s="220" t="e">
        <f t="shared" si="0"/>
        <v>#REF!</v>
      </c>
      <c r="L10" s="219"/>
      <c r="S10" s="186" t="e">
        <f>IF(AND($J68&gt;=240000),8,0)</f>
        <v>#REF!</v>
      </c>
      <c r="T10" s="186" t="s">
        <v>1092</v>
      </c>
      <c r="U10" s="186"/>
      <c r="V10" s="186"/>
      <c r="W10" s="186">
        <v>8</v>
      </c>
      <c r="X10" s="186" t="s">
        <v>1091</v>
      </c>
      <c r="AG10" s="185" t="s">
        <v>1090</v>
      </c>
      <c r="AH10" s="185">
        <v>33</v>
      </c>
      <c r="AI10" s="187">
        <f>SUM('FBS classification '!D138:E138)</f>
        <v>0</v>
      </c>
      <c r="AJ10" s="187">
        <f t="shared" si="2"/>
        <v>0</v>
      </c>
      <c r="AK10" s="185" t="s">
        <v>1089</v>
      </c>
      <c r="AL10" s="186"/>
      <c r="AM10" s="186"/>
    </row>
    <row r="11" spans="1:39" s="185" customFormat="1" ht="12.75">
      <c r="A11" s="203" t="s">
        <v>1088</v>
      </c>
      <c r="B11" s="201" t="s">
        <v>1087</v>
      </c>
      <c r="C11" s="200">
        <f>IF('Initial data collection sheet'!B26='Initial data collection sheet'!B398,1,0)</f>
        <v>0</v>
      </c>
      <c r="H11" s="221" t="s">
        <v>868</v>
      </c>
      <c r="I11" s="199"/>
      <c r="J11" s="220" t="e">
        <f t="shared" si="0"/>
        <v>#REF!</v>
      </c>
      <c r="K11" s="220" t="e">
        <f t="shared" si="0"/>
        <v>#REF!</v>
      </c>
      <c r="L11" s="219" t="e">
        <f>IF(SUM(J5:J11)=0,0,SUM(J5:J11)/J68)</f>
        <v>#REF!</v>
      </c>
      <c r="S11" s="186" t="e">
        <f>SUM(S3:S10)</f>
        <v>#REF!</v>
      </c>
      <c r="T11" s="186" t="s">
        <v>1086</v>
      </c>
      <c r="U11" s="186"/>
      <c r="V11" s="186"/>
      <c r="W11" s="186"/>
      <c r="X11" s="186"/>
      <c r="AG11" s="185" t="s">
        <v>1085</v>
      </c>
      <c r="AH11" s="185">
        <v>10</v>
      </c>
      <c r="AI11" s="187">
        <f>SUM('FBS classification '!D129:E132)</f>
        <v>0</v>
      </c>
      <c r="AJ11" s="187">
        <f t="shared" si="2"/>
        <v>0</v>
      </c>
      <c r="AK11" s="185" t="s">
        <v>1084</v>
      </c>
      <c r="AL11" s="186"/>
      <c r="AM11" s="186"/>
    </row>
    <row r="12" spans="1:39" s="185" customFormat="1" ht="12.75">
      <c r="A12" s="203" t="s">
        <v>1083</v>
      </c>
      <c r="B12" s="201" t="s">
        <v>1082</v>
      </c>
      <c r="C12" s="200">
        <f>IF(OR(C73=3,C73=5),1,0)</f>
        <v>0</v>
      </c>
      <c r="E12" s="194" t="s">
        <v>1081</v>
      </c>
      <c r="F12" s="191" t="str">
        <f>VLOOKUP(F8,Z2:AA7,2)</f>
        <v>&lt; 1FTE</v>
      </c>
      <c r="AG12" s="185" t="s">
        <v>1080</v>
      </c>
      <c r="AH12" s="185">
        <v>90</v>
      </c>
      <c r="AI12" s="187">
        <f>SUM('FBS classification '!D135:E137)</f>
        <v>0</v>
      </c>
      <c r="AJ12" s="187">
        <f t="shared" si="2"/>
        <v>0</v>
      </c>
      <c r="AK12" s="185" t="s">
        <v>1079</v>
      </c>
      <c r="AL12" s="186"/>
      <c r="AM12" s="186"/>
    </row>
    <row r="13" spans="1:39" s="185" customFormat="1" ht="12.75">
      <c r="A13" s="203" t="s">
        <v>1078</v>
      </c>
      <c r="B13" s="201" t="s">
        <v>1077</v>
      </c>
      <c r="C13" s="205">
        <f>IF(OR(C73=2,C73=4),1,0)</f>
        <v>0</v>
      </c>
      <c r="D13" s="216" t="s">
        <v>1076</v>
      </c>
      <c r="E13" s="218"/>
      <c r="F13" s="217"/>
      <c r="G13" s="216"/>
      <c r="H13" s="201" t="e">
        <f>C10</f>
        <v>#REF!</v>
      </c>
      <c r="I13" s="201"/>
      <c r="J13" s="201" t="s">
        <v>1075</v>
      </c>
      <c r="K13" s="201" t="s">
        <v>261</v>
      </c>
      <c r="M13" s="216" t="s">
        <v>1074</v>
      </c>
      <c r="N13" s="216" t="s">
        <v>261</v>
      </c>
      <c r="P13" s="194" t="s">
        <v>1072</v>
      </c>
      <c r="Q13" s="193" t="s">
        <v>1073</v>
      </c>
      <c r="R13" s="193"/>
      <c r="S13" s="191" t="s">
        <v>1072</v>
      </c>
      <c r="U13" s="194" t="s">
        <v>1071</v>
      </c>
      <c r="V13" s="193"/>
      <c r="W13" s="193"/>
      <c r="X13" s="191"/>
      <c r="AG13" s="185" t="s">
        <v>1070</v>
      </c>
      <c r="AH13" s="185">
        <v>120</v>
      </c>
      <c r="AI13" s="187">
        <f>SUM('FBS classification '!D134:E134)</f>
        <v>0</v>
      </c>
      <c r="AJ13" s="187">
        <f t="shared" si="2"/>
        <v>0</v>
      </c>
      <c r="AK13" s="185" t="s">
        <v>1069</v>
      </c>
      <c r="AL13" s="186"/>
      <c r="AM13" s="186"/>
    </row>
    <row r="14" spans="1:39" s="185" customFormat="1" ht="12.75">
      <c r="A14" s="203" t="s">
        <v>1068</v>
      </c>
      <c r="B14" s="201" t="s">
        <v>1067</v>
      </c>
      <c r="C14" s="215" t="s">
        <v>39</v>
      </c>
      <c r="D14" s="200" t="s">
        <v>1066</v>
      </c>
      <c r="E14" s="200" t="s">
        <v>1065</v>
      </c>
      <c r="F14" s="200" t="s">
        <v>1064</v>
      </c>
      <c r="G14" s="200" t="s">
        <v>1063</v>
      </c>
      <c r="H14" s="201" t="e">
        <f>IF(C10=411,D14,IF(C10=412,E14,IF(C10=413,F14,IF(C10=421,G14))))</f>
        <v>#REF!</v>
      </c>
      <c r="I14" s="201"/>
      <c r="J14" s="201" t="s">
        <v>1062</v>
      </c>
      <c r="K14" s="201" t="s">
        <v>1060</v>
      </c>
      <c r="M14" s="200" t="s">
        <v>1061</v>
      </c>
      <c r="N14" s="200" t="s">
        <v>1060</v>
      </c>
      <c r="P14" s="205" t="s">
        <v>1059</v>
      </c>
      <c r="Q14" s="204" t="s">
        <v>1059</v>
      </c>
      <c r="R14" s="204"/>
      <c r="S14" s="199" t="s">
        <v>1059</v>
      </c>
      <c r="U14" s="205" t="s">
        <v>1058</v>
      </c>
      <c r="V14" s="204"/>
      <c r="W14" s="204"/>
      <c r="X14" s="199"/>
      <c r="AG14" s="185" t="s">
        <v>1057</v>
      </c>
      <c r="AH14" s="185">
        <v>100</v>
      </c>
      <c r="AI14" s="187">
        <f>'FBS classification '!F311</f>
        <v>0</v>
      </c>
      <c r="AJ14" s="187">
        <f t="shared" si="2"/>
        <v>0</v>
      </c>
      <c r="AK14" s="185" t="s">
        <v>1056</v>
      </c>
      <c r="AL14" s="186"/>
      <c r="AM14" s="186"/>
    </row>
    <row r="15" spans="1:39" s="185" customFormat="1" ht="12.75">
      <c r="A15" s="203" t="s">
        <v>1055</v>
      </c>
      <c r="B15" s="201" t="s">
        <v>1054</v>
      </c>
      <c r="C15" s="197">
        <f>'Initial data collection sheet'!B35+'Initial data collection sheet'!B36</f>
        <v>0</v>
      </c>
      <c r="D15" s="201">
        <v>935</v>
      </c>
      <c r="E15" s="201">
        <v>974</v>
      </c>
      <c r="F15" s="201">
        <v>872</v>
      </c>
      <c r="G15" s="201">
        <v>850</v>
      </c>
      <c r="H15" s="200" t="e">
        <f t="shared" ref="H15:H45" si="3">IF(C$10=411,D15,IF(C$10=412,E15,IF(C$10=413,F15,IF(C$10=421,G15))))</f>
        <v>#REF!</v>
      </c>
      <c r="I15" s="208" t="s">
        <v>1053</v>
      </c>
      <c r="J15" s="198" t="e">
        <f t="shared" ref="J15:J45" si="4">H15*C15</f>
        <v>#REF!</v>
      </c>
      <c r="K15" s="202" t="e">
        <f>IF(J15&gt;0,(J15*100/J68),0)</f>
        <v>#REF!</v>
      </c>
      <c r="L15" s="187"/>
      <c r="M15" s="214" t="s">
        <v>1052</v>
      </c>
      <c r="N15" s="213" t="e">
        <f>SUM(K15:K32)+K37+K38+K43</f>
        <v>#REF!</v>
      </c>
      <c r="P15" s="194">
        <v>1</v>
      </c>
      <c r="Q15" s="193">
        <v>1312</v>
      </c>
      <c r="R15" s="192" t="e">
        <f>IF(AND(R107=1300,N25+N27+N29+N44&gt;66.667,N44&lt;=66.667),1312,"")</f>
        <v>#REF!</v>
      </c>
      <c r="S15" s="206" t="e">
        <f>IF(R15=1312,1,"")</f>
        <v>#REF!</v>
      </c>
      <c r="T15" s="187"/>
      <c r="U15" s="194" t="s">
        <v>1051</v>
      </c>
      <c r="V15" s="193"/>
      <c r="W15" s="193"/>
      <c r="X15" s="191"/>
      <c r="AG15" s="185" t="s">
        <v>1050</v>
      </c>
      <c r="AH15" s="185">
        <v>500</v>
      </c>
      <c r="AI15" s="187">
        <f>SUM('FBS classification '!D173:E173)+SUM('FBS classification '!D175:E176)</f>
        <v>0</v>
      </c>
      <c r="AJ15" s="187">
        <f t="shared" si="2"/>
        <v>0</v>
      </c>
      <c r="AK15" s="185" t="s">
        <v>1049</v>
      </c>
      <c r="AL15" s="186"/>
      <c r="AM15" s="186"/>
    </row>
    <row r="16" spans="1:39" s="185" customFormat="1" ht="12.75">
      <c r="A16" s="203" t="s">
        <v>172</v>
      </c>
      <c r="B16" s="201" t="s">
        <v>402</v>
      </c>
      <c r="C16" s="197">
        <f>'Initial data collection sheet'!B40</f>
        <v>0</v>
      </c>
      <c r="D16" s="201">
        <v>787</v>
      </c>
      <c r="E16" s="201">
        <v>787</v>
      </c>
      <c r="F16" s="201">
        <v>787</v>
      </c>
      <c r="G16" s="201">
        <v>787</v>
      </c>
      <c r="H16" s="200" t="e">
        <f t="shared" si="3"/>
        <v>#REF!</v>
      </c>
      <c r="I16" s="208" t="s">
        <v>1048</v>
      </c>
      <c r="J16" s="198" t="e">
        <f t="shared" si="4"/>
        <v>#REF!</v>
      </c>
      <c r="K16" s="197" t="e">
        <f>IF(J16&gt;0,(J16*100/J68),0)</f>
        <v>#REF!</v>
      </c>
      <c r="L16" s="187"/>
      <c r="M16" s="196" t="s">
        <v>1047</v>
      </c>
      <c r="N16" s="195" t="e">
        <f>SUM(K33:K36)+K44</f>
        <v>#REF!</v>
      </c>
      <c r="P16" s="194">
        <v>2</v>
      </c>
      <c r="Q16" s="193">
        <v>1412</v>
      </c>
      <c r="R16" s="192" t="e">
        <f>IF(AND(R110=1400,N26&gt;66.667,R95=""),1412,"")</f>
        <v>#REF!</v>
      </c>
      <c r="S16" s="212"/>
      <c r="T16" s="187"/>
      <c r="U16" s="190" t="s">
        <v>1046</v>
      </c>
      <c r="X16" s="189"/>
      <c r="AG16" s="185" t="s">
        <v>1045</v>
      </c>
      <c r="AH16" s="185">
        <v>25</v>
      </c>
      <c r="AI16" s="187">
        <f>SUM('FBS classification '!D174:E174)</f>
        <v>0</v>
      </c>
      <c r="AJ16" s="187">
        <f t="shared" si="2"/>
        <v>0</v>
      </c>
      <c r="AK16" s="185" t="s">
        <v>1044</v>
      </c>
      <c r="AL16" s="186"/>
      <c r="AM16" s="186"/>
    </row>
    <row r="17" spans="1:39" s="185" customFormat="1" ht="12.75">
      <c r="A17" s="203" t="s">
        <v>1043</v>
      </c>
      <c r="B17" s="201" t="s">
        <v>400</v>
      </c>
      <c r="C17" s="202">
        <f>'Initial data collection sheet'!B37</f>
        <v>0</v>
      </c>
      <c r="D17" s="201">
        <v>784</v>
      </c>
      <c r="E17" s="201">
        <v>764</v>
      </c>
      <c r="F17" s="201">
        <v>697</v>
      </c>
      <c r="G17" s="201">
        <v>685</v>
      </c>
      <c r="H17" s="200" t="e">
        <f t="shared" si="3"/>
        <v>#REF!</v>
      </c>
      <c r="I17" s="208" t="s">
        <v>1042</v>
      </c>
      <c r="J17" s="198" t="e">
        <f t="shared" si="4"/>
        <v>#REF!</v>
      </c>
      <c r="K17" s="197" t="e">
        <f>IF(J17&gt;0,(J17*100/J68),0)</f>
        <v>#REF!</v>
      </c>
      <c r="L17" s="187"/>
      <c r="M17" s="196" t="s">
        <v>1041</v>
      </c>
      <c r="N17" s="195" t="e">
        <f>SUM(K39:K42)</f>
        <v>#REF!</v>
      </c>
      <c r="P17" s="190"/>
      <c r="Q17" s="185">
        <v>1420</v>
      </c>
      <c r="R17" s="211" t="e">
        <f>IF(AND(AND(R110=1400,N20+N27+N29+N44&gt;33.333,N26&gt;33.333)),1420,"")</f>
        <v>#REF!</v>
      </c>
      <c r="S17" s="210"/>
      <c r="T17" s="187"/>
      <c r="U17" s="190" t="s">
        <v>1040</v>
      </c>
      <c r="X17" s="189"/>
      <c r="AG17" s="185" t="s">
        <v>1039</v>
      </c>
      <c r="AH17" s="185">
        <v>450</v>
      </c>
      <c r="AI17" s="187">
        <f>'FBS classification '!F349</f>
        <v>0</v>
      </c>
      <c r="AJ17" s="187">
        <f t="shared" si="2"/>
        <v>0</v>
      </c>
      <c r="AK17" s="185" t="s">
        <v>1038</v>
      </c>
      <c r="AL17" s="186"/>
      <c r="AM17" s="186"/>
    </row>
    <row r="18" spans="1:39" s="185" customFormat="1" ht="12.75">
      <c r="A18" s="203" t="s">
        <v>170</v>
      </c>
      <c r="B18" s="201" t="s">
        <v>401</v>
      </c>
      <c r="C18" s="202">
        <f>'Initial data collection sheet'!B38</f>
        <v>0</v>
      </c>
      <c r="D18" s="201">
        <v>1039</v>
      </c>
      <c r="E18" s="201">
        <v>865</v>
      </c>
      <c r="F18" s="201">
        <v>926</v>
      </c>
      <c r="G18" s="201">
        <v>926</v>
      </c>
      <c r="H18" s="200" t="e">
        <f t="shared" si="3"/>
        <v>#REF!</v>
      </c>
      <c r="I18" s="208" t="s">
        <v>1037</v>
      </c>
      <c r="J18" s="198" t="e">
        <f t="shared" si="4"/>
        <v>#REF!</v>
      </c>
      <c r="K18" s="197" t="e">
        <f>IF(J18&gt;0,(J18*100/J68),0)</f>
        <v>#REF!</v>
      </c>
      <c r="L18" s="187"/>
      <c r="M18" s="196" t="s">
        <v>1036</v>
      </c>
      <c r="N18" s="195" t="e">
        <f>K66+K67+SUM(K47:K59)</f>
        <v>#REF!</v>
      </c>
      <c r="P18" s="190"/>
      <c r="Q18" s="185">
        <v>1430</v>
      </c>
      <c r="R18" s="211" t="e">
        <f>IF(AND(R110=1400,N30&gt;66.667),1430,"")</f>
        <v>#REF!</v>
      </c>
      <c r="S18" s="210"/>
      <c r="T18" s="187"/>
      <c r="U18" s="190" t="s">
        <v>1035</v>
      </c>
      <c r="X18" s="189"/>
      <c r="AG18" s="185" t="s">
        <v>649</v>
      </c>
      <c r="AH18" s="185">
        <v>1500</v>
      </c>
      <c r="AI18" s="187">
        <f>'FBS classification '!F252</f>
        <v>0</v>
      </c>
      <c r="AJ18" s="187">
        <f t="shared" si="2"/>
        <v>0</v>
      </c>
      <c r="AK18" s="185" t="s">
        <v>1034</v>
      </c>
      <c r="AL18" s="186"/>
      <c r="AM18" s="186"/>
    </row>
    <row r="19" spans="1:39" s="185" customFormat="1" ht="12.75">
      <c r="A19" s="203" t="s">
        <v>1033</v>
      </c>
      <c r="B19" s="201" t="s">
        <v>1032</v>
      </c>
      <c r="C19" s="202">
        <f>'Initial data collection sheet'!B48</f>
        <v>0</v>
      </c>
      <c r="D19" s="201">
        <v>1027</v>
      </c>
      <c r="E19" s="201">
        <v>1027</v>
      </c>
      <c r="F19" s="201">
        <v>1027</v>
      </c>
      <c r="G19" s="201">
        <v>1027</v>
      </c>
      <c r="H19" s="200" t="e">
        <f t="shared" si="3"/>
        <v>#REF!</v>
      </c>
      <c r="I19" s="199" t="s">
        <v>1031</v>
      </c>
      <c r="J19" s="198" t="e">
        <f t="shared" si="4"/>
        <v>#REF!</v>
      </c>
      <c r="K19" s="197" t="e">
        <f>IF(J19&gt;0,(J19*100/J68),0)</f>
        <v>#REF!</v>
      </c>
      <c r="L19" s="187"/>
      <c r="M19" s="196" t="s">
        <v>1030</v>
      </c>
      <c r="N19" s="195" t="e">
        <f>SUM(K60:K65)</f>
        <v>#REF!</v>
      </c>
      <c r="P19" s="190"/>
      <c r="Q19" s="185">
        <v>1443</v>
      </c>
      <c r="R19" s="211" t="e">
        <f>IF(AND(AND(R111=1440,R112="",R113="",R96="")),1443,"")</f>
        <v>#REF!</v>
      </c>
      <c r="S19" s="210"/>
      <c r="T19" s="187"/>
      <c r="U19" s="190" t="s">
        <v>1029</v>
      </c>
      <c r="X19" s="189"/>
      <c r="AG19" s="185" t="s">
        <v>646</v>
      </c>
      <c r="AH19" s="185">
        <v>5000</v>
      </c>
      <c r="AI19" s="187">
        <f>'FBS classification '!F420</f>
        <v>0</v>
      </c>
      <c r="AJ19" s="187">
        <f t="shared" si="2"/>
        <v>0</v>
      </c>
      <c r="AK19" s="185" t="s">
        <v>1028</v>
      </c>
      <c r="AL19" s="186"/>
      <c r="AM19" s="186"/>
    </row>
    <row r="20" spans="1:39" s="185" customFormat="1" ht="12.75">
      <c r="A20" s="203" t="s">
        <v>171</v>
      </c>
      <c r="B20" s="201" t="s">
        <v>1027</v>
      </c>
      <c r="C20" s="202">
        <f>'Initial data collection sheet'!B39+'Initial data collection sheet'!B41</f>
        <v>0</v>
      </c>
      <c r="D20" s="201">
        <v>1027</v>
      </c>
      <c r="E20" s="201">
        <v>1027</v>
      </c>
      <c r="F20" s="201">
        <v>1027</v>
      </c>
      <c r="G20" s="201">
        <v>1027</v>
      </c>
      <c r="H20" s="200" t="e">
        <f t="shared" si="3"/>
        <v>#REF!</v>
      </c>
      <c r="I20" s="208" t="s">
        <v>1026</v>
      </c>
      <c r="J20" s="198" t="e">
        <f t="shared" si="4"/>
        <v>#REF!</v>
      </c>
      <c r="K20" s="197" t="e">
        <f>IF(J20&gt;0,(J20*100/J68),0)</f>
        <v>#REF!</v>
      </c>
      <c r="L20" s="187"/>
      <c r="M20" s="196" t="s">
        <v>1025</v>
      </c>
      <c r="N20" s="195" t="e">
        <f>SUM(K15:K20)</f>
        <v>#REF!</v>
      </c>
      <c r="P20" s="190"/>
      <c r="Q20" s="185">
        <v>6020</v>
      </c>
      <c r="R20" s="211" t="e">
        <f>IF(AND(N15&gt;33.333,N16&gt;33.333),6020,"")</f>
        <v>#REF!</v>
      </c>
      <c r="S20" s="210"/>
      <c r="T20" s="187"/>
      <c r="U20" s="190" t="s">
        <v>1024</v>
      </c>
      <c r="X20" s="189"/>
      <c r="AG20" s="185" t="s">
        <v>1023</v>
      </c>
      <c r="AH20" s="185">
        <v>25000</v>
      </c>
      <c r="AI20" s="187">
        <f>'FBS classification '!F475</f>
        <v>0</v>
      </c>
      <c r="AJ20" s="187">
        <f t="shared" si="2"/>
        <v>0</v>
      </c>
      <c r="AK20" s="185" t="s">
        <v>1022</v>
      </c>
      <c r="AL20" s="186"/>
      <c r="AM20" s="186"/>
    </row>
    <row r="21" spans="1:39" s="185" customFormat="1" ht="12.75">
      <c r="A21" s="203" t="s">
        <v>1021</v>
      </c>
      <c r="B21" s="201" t="s">
        <v>1020</v>
      </c>
      <c r="C21" s="202">
        <f>'Initial data collection sheet'!B42+'Initial data collection sheet'!B43</f>
        <v>0</v>
      </c>
      <c r="D21" s="201">
        <v>728</v>
      </c>
      <c r="E21" s="201">
        <v>767</v>
      </c>
      <c r="F21" s="201">
        <v>758</v>
      </c>
      <c r="G21" s="201">
        <v>758</v>
      </c>
      <c r="H21" s="200" t="e">
        <f t="shared" si="3"/>
        <v>#REF!</v>
      </c>
      <c r="I21" s="208" t="s">
        <v>1019</v>
      </c>
      <c r="J21" s="198" t="e">
        <f t="shared" si="4"/>
        <v>#REF!</v>
      </c>
      <c r="K21" s="197" t="e">
        <f>IF(J21&gt;0,(J21*100/J68),0)</f>
        <v>#REF!</v>
      </c>
      <c r="L21" s="187"/>
      <c r="M21" s="196" t="s">
        <v>1018</v>
      </c>
      <c r="N21" s="195" t="e">
        <f>K50+K52+K54+K47</f>
        <v>#REF!</v>
      </c>
      <c r="P21" s="190"/>
      <c r="Q21" s="185">
        <v>6030</v>
      </c>
      <c r="R21" s="211" t="e">
        <f>IF(AND(N15&gt;33.333,N41&gt;33.333),6030,"")</f>
        <v>#REF!</v>
      </c>
      <c r="S21" s="210"/>
      <c r="T21" s="187"/>
      <c r="U21" s="190" t="s">
        <v>1017</v>
      </c>
      <c r="X21" s="189"/>
      <c r="AG21" s="185" t="s">
        <v>1016</v>
      </c>
      <c r="AH21" s="185">
        <v>7220</v>
      </c>
      <c r="AI21" s="187">
        <f>SUM('FBS classification '!D220:E220)</f>
        <v>0</v>
      </c>
      <c r="AJ21" s="187">
        <f t="shared" si="2"/>
        <v>0</v>
      </c>
      <c r="AK21" s="185" t="s">
        <v>1015</v>
      </c>
      <c r="AL21" s="186"/>
      <c r="AM21" s="186"/>
    </row>
    <row r="22" spans="1:39" s="185" customFormat="1" ht="12.75">
      <c r="A22" s="203" t="s">
        <v>1014</v>
      </c>
      <c r="B22" s="201" t="s">
        <v>1013</v>
      </c>
      <c r="C22" s="202"/>
      <c r="D22" s="201">
        <v>879</v>
      </c>
      <c r="E22" s="201">
        <v>856</v>
      </c>
      <c r="F22" s="201">
        <v>800</v>
      </c>
      <c r="G22" s="201">
        <v>800</v>
      </c>
      <c r="H22" s="200" t="e">
        <f t="shared" si="3"/>
        <v>#REF!</v>
      </c>
      <c r="I22" s="208" t="s">
        <v>1012</v>
      </c>
      <c r="J22" s="198" t="e">
        <f t="shared" si="4"/>
        <v>#REF!</v>
      </c>
      <c r="K22" s="197" t="e">
        <f>IF(J22&gt;0,(J22*100/J68),0)</f>
        <v>#REF!</v>
      </c>
      <c r="L22" s="187"/>
      <c r="M22" s="196" t="s">
        <v>1011</v>
      </c>
      <c r="N22" s="195" t="e">
        <f>SUM(K47:K54)</f>
        <v>#REF!</v>
      </c>
      <c r="P22" s="190"/>
      <c r="Q22" s="185">
        <v>6040</v>
      </c>
      <c r="R22" s="211" t="e">
        <f>IF(AND(N15&gt;33.333,N17&gt;33.333,N41&lt;=33.333),6040,"")</f>
        <v>#REF!</v>
      </c>
      <c r="S22" s="210"/>
      <c r="T22" s="187"/>
      <c r="U22" s="190" t="s">
        <v>1010</v>
      </c>
      <c r="X22" s="189"/>
      <c r="AG22" s="185" t="s">
        <v>901</v>
      </c>
      <c r="AH22" s="185">
        <v>1</v>
      </c>
      <c r="AI22" s="187">
        <f>'FBS classification '!D99</f>
        <v>0</v>
      </c>
      <c r="AJ22" s="187">
        <f t="shared" si="2"/>
        <v>0</v>
      </c>
      <c r="AK22" s="185" t="s">
        <v>1009</v>
      </c>
      <c r="AL22" s="186"/>
      <c r="AM22" s="186"/>
    </row>
    <row r="23" spans="1:39" s="185" customFormat="1" ht="12.75">
      <c r="A23" s="203" t="s">
        <v>1008</v>
      </c>
      <c r="B23" s="201" t="s">
        <v>41</v>
      </c>
      <c r="C23" s="202">
        <f>'Initial data collection sheet'!B46</f>
        <v>0</v>
      </c>
      <c r="D23" s="201">
        <v>4605</v>
      </c>
      <c r="E23" s="201">
        <v>5304</v>
      </c>
      <c r="F23" s="201">
        <v>4160</v>
      </c>
      <c r="G23" s="201">
        <v>4160</v>
      </c>
      <c r="H23" s="200" t="e">
        <f t="shared" si="3"/>
        <v>#REF!</v>
      </c>
      <c r="I23" s="208" t="s">
        <v>1007</v>
      </c>
      <c r="J23" s="198" t="e">
        <f t="shared" si="4"/>
        <v>#REF!</v>
      </c>
      <c r="K23" s="197" t="e">
        <f>IF(J23&gt;0,(J23*100/J68),0)</f>
        <v>#REF!</v>
      </c>
      <c r="L23" s="187"/>
      <c r="M23" s="196" t="s">
        <v>1006</v>
      </c>
      <c r="N23" s="195" t="e">
        <f>K60+K61+K62</f>
        <v>#REF!</v>
      </c>
      <c r="P23" s="205"/>
      <c r="Q23" s="204">
        <v>6052</v>
      </c>
      <c r="R23" s="207" t="e">
        <f>IF(AND(N15&gt;33.333,N15&lt;=66.667,N16&lt;=33.333,N17&lt;=33.333,N18&lt;=33.333,N19&lt;=33.333,R98=""),6052,"")</f>
        <v>#REF!</v>
      </c>
      <c r="S23" s="209" t="str">
        <f>IF(COUNT(R16:R23)=1,2,"")</f>
        <v/>
      </c>
      <c r="T23" s="187"/>
      <c r="U23" s="205" t="s">
        <v>1005</v>
      </c>
      <c r="V23" s="204"/>
      <c r="W23" s="204"/>
      <c r="X23" s="189"/>
      <c r="AG23" s="185" t="s">
        <v>887</v>
      </c>
      <c r="AH23" s="185">
        <v>39</v>
      </c>
      <c r="AI23" s="188">
        <f>'FBS classification '!G72</f>
        <v>0</v>
      </c>
      <c r="AJ23" s="187">
        <f t="shared" si="2"/>
        <v>0</v>
      </c>
      <c r="AK23" s="185" t="s">
        <v>1004</v>
      </c>
      <c r="AL23" s="186"/>
      <c r="AM23" s="186"/>
    </row>
    <row r="24" spans="1:39" s="185" customFormat="1" ht="12.75">
      <c r="A24" s="203" t="s">
        <v>1003</v>
      </c>
      <c r="B24" s="201" t="s">
        <v>46</v>
      </c>
      <c r="C24" s="202">
        <f>'Initial data collection sheet'!B45</f>
        <v>0</v>
      </c>
      <c r="D24" s="201">
        <v>1524</v>
      </c>
      <c r="E24" s="201">
        <v>1830</v>
      </c>
      <c r="F24" s="201">
        <v>1362</v>
      </c>
      <c r="G24" s="201">
        <v>1362</v>
      </c>
      <c r="H24" s="200" t="e">
        <f t="shared" si="3"/>
        <v>#REF!</v>
      </c>
      <c r="I24" s="208" t="s">
        <v>1002</v>
      </c>
      <c r="J24" s="198" t="e">
        <f t="shared" si="4"/>
        <v>#REF!</v>
      </c>
      <c r="K24" s="197" t="e">
        <f>IF(J24&gt;0,(J24*100/J68),0)</f>
        <v>#REF!</v>
      </c>
      <c r="L24" s="187"/>
      <c r="M24" s="196" t="s">
        <v>1001</v>
      </c>
      <c r="N24" s="195" t="e">
        <f>K63+K64+K65</f>
        <v>#REF!</v>
      </c>
      <c r="P24" s="190">
        <v>3</v>
      </c>
      <c r="Q24" s="204">
        <v>3211</v>
      </c>
      <c r="R24" s="207" t="e">
        <f>IF((N39+N40)&gt;66.667,3211,"")</f>
        <v>#REF!</v>
      </c>
      <c r="S24" s="206" t="e">
        <f>IF(R24=3211,3,"")</f>
        <v>#REF!</v>
      </c>
      <c r="T24" s="187"/>
      <c r="U24" s="205" t="s">
        <v>977</v>
      </c>
      <c r="V24" s="204"/>
      <c r="W24" s="204"/>
      <c r="X24" s="199"/>
      <c r="AG24" s="185" t="s">
        <v>1000</v>
      </c>
      <c r="AH24" s="185">
        <v>12</v>
      </c>
      <c r="AI24" s="188">
        <f>'FBS classification '!G75+'FBS classification '!G74</f>
        <v>0</v>
      </c>
      <c r="AJ24" s="187">
        <f t="shared" si="2"/>
        <v>0</v>
      </c>
      <c r="AK24" s="185" t="s">
        <v>999</v>
      </c>
      <c r="AL24" s="186"/>
      <c r="AM24" s="186"/>
    </row>
    <row r="25" spans="1:39" s="185" customFormat="1" ht="12.75">
      <c r="A25" s="203" t="s">
        <v>998</v>
      </c>
      <c r="B25" s="201" t="s">
        <v>997</v>
      </c>
      <c r="C25" s="202">
        <f>'Initial data collection sheet'!B44</f>
        <v>0</v>
      </c>
      <c r="D25" s="201">
        <v>0</v>
      </c>
      <c r="E25" s="201">
        <v>0</v>
      </c>
      <c r="F25" s="201">
        <v>0</v>
      </c>
      <c r="G25" s="201">
        <v>0</v>
      </c>
      <c r="H25" s="200" t="e">
        <f t="shared" si="3"/>
        <v>#REF!</v>
      </c>
      <c r="I25" s="199" t="s">
        <v>978</v>
      </c>
      <c r="J25" s="198" t="e">
        <f t="shared" si="4"/>
        <v>#REF!</v>
      </c>
      <c r="K25" s="197" t="e">
        <f>IF(J25&gt;0,(J25*100/J68),0)</f>
        <v>#REF!</v>
      </c>
      <c r="L25" s="187"/>
      <c r="M25" s="196" t="s">
        <v>996</v>
      </c>
      <c r="N25" s="195" t="e">
        <f>SUM(K15:K20)</f>
        <v>#REF!</v>
      </c>
      <c r="P25" s="194">
        <v>4</v>
      </c>
      <c r="Q25" s="193">
        <v>2012</v>
      </c>
      <c r="R25" s="192" t="e">
        <f>IF(N32&gt;66.667,2012,"")</f>
        <v>#REF!</v>
      </c>
      <c r="S25" s="191"/>
      <c r="T25" s="187"/>
      <c r="U25" s="190" t="s">
        <v>995</v>
      </c>
      <c r="X25" s="189"/>
      <c r="AG25" s="185" t="s">
        <v>994</v>
      </c>
      <c r="AH25" s="185">
        <v>9</v>
      </c>
      <c r="AI25" s="188">
        <f>'[8]Section E1 output split'!AA14+'[8]Section E1 output split'!AA15</f>
        <v>0</v>
      </c>
      <c r="AJ25" s="187">
        <f t="shared" si="2"/>
        <v>0</v>
      </c>
      <c r="AL25" s="186"/>
      <c r="AM25" s="186"/>
    </row>
    <row r="26" spans="1:39" ht="12.75">
      <c r="A26" s="184" t="s">
        <v>993</v>
      </c>
      <c r="B26" s="87" t="s">
        <v>992</v>
      </c>
      <c r="C26" s="97"/>
      <c r="D26" s="87">
        <v>5404</v>
      </c>
      <c r="E26" s="87">
        <v>5404</v>
      </c>
      <c r="F26" s="87">
        <v>5404</v>
      </c>
      <c r="G26" s="87">
        <v>5404</v>
      </c>
      <c r="H26" s="99" t="e">
        <f t="shared" si="3"/>
        <v>#REF!</v>
      </c>
      <c r="I26" s="116" t="s">
        <v>991</v>
      </c>
      <c r="J26" s="176" t="e">
        <f t="shared" si="4"/>
        <v>#REF!</v>
      </c>
      <c r="K26" s="85" t="e">
        <f>IF(J26&gt;0,(J26*100/J68),0)</f>
        <v>#REF!</v>
      </c>
      <c r="L26" s="103"/>
      <c r="M26" s="162" t="s">
        <v>990</v>
      </c>
      <c r="N26" s="161" t="e">
        <f>K23+K24+K25</f>
        <v>#REF!</v>
      </c>
      <c r="P26" s="120"/>
      <c r="Q26" s="84">
        <v>2022</v>
      </c>
      <c r="R26" s="122" t="e">
        <f>IF(N34&gt;66.667,2022,"")</f>
        <v>#REF!</v>
      </c>
      <c r="S26" s="121"/>
      <c r="T26" s="103"/>
      <c r="U26" s="120" t="s">
        <v>989</v>
      </c>
      <c r="X26" s="119"/>
      <c r="AG26" s="84" t="s">
        <v>988</v>
      </c>
      <c r="AH26" s="84">
        <v>9</v>
      </c>
      <c r="AI26" s="182">
        <f>ROUND('FBS classification '!G71+'FBS classification '!G73+SUM('FBS classification '!G76:G84),2)-ROUND(AI25,2)</f>
        <v>0</v>
      </c>
      <c r="AJ26" s="103">
        <f t="shared" si="2"/>
        <v>0</v>
      </c>
      <c r="AK26" s="84" t="s">
        <v>987</v>
      </c>
      <c r="AL26" s="118"/>
      <c r="AM26" s="118"/>
    </row>
    <row r="27" spans="1:39" ht="12.75">
      <c r="A27" s="183" t="s">
        <v>986</v>
      </c>
      <c r="B27" s="87" t="s">
        <v>985</v>
      </c>
      <c r="C27" s="97">
        <f>'Initial data collection sheet'!B47</f>
        <v>0</v>
      </c>
      <c r="D27" s="87">
        <v>983</v>
      </c>
      <c r="E27" s="87">
        <v>965</v>
      </c>
      <c r="F27" s="87">
        <v>892</v>
      </c>
      <c r="G27" s="87">
        <v>892</v>
      </c>
      <c r="H27" s="99" t="e">
        <f t="shared" si="3"/>
        <v>#REF!</v>
      </c>
      <c r="I27" s="116" t="s">
        <v>971</v>
      </c>
      <c r="J27" s="176" t="e">
        <f t="shared" si="4"/>
        <v>#REF!</v>
      </c>
      <c r="K27" s="85" t="e">
        <f>IF(J27&gt;0,(J27*100/J68),0)</f>
        <v>#REF!</v>
      </c>
      <c r="L27" s="103"/>
      <c r="M27" s="162" t="s">
        <v>984</v>
      </c>
      <c r="N27" s="161" t="e">
        <f>K21+K22</f>
        <v>#REF!</v>
      </c>
      <c r="P27" s="115"/>
      <c r="Q27" s="91">
        <v>2032</v>
      </c>
      <c r="R27" s="117" t="e">
        <f>IF(AND((N32+N34)&gt;66.667,N27="",N28=""),2032,"")</f>
        <v>#REF!</v>
      </c>
      <c r="S27" s="142" t="str">
        <f>IF(COUNT(R25:R27)=1,4,"")</f>
        <v/>
      </c>
      <c r="T27" s="103"/>
      <c r="U27" s="115" t="s">
        <v>983</v>
      </c>
      <c r="V27" s="91"/>
      <c r="W27" s="91"/>
      <c r="X27" s="119"/>
      <c r="AG27" s="84" t="s">
        <v>982</v>
      </c>
      <c r="AH27" s="84">
        <v>5.2</v>
      </c>
      <c r="AI27" s="182">
        <f>IF('FBS classification '!C11=1,0,SUM('FBS classification '!G85:G87))</f>
        <v>0</v>
      </c>
      <c r="AJ27" s="103">
        <f t="shared" si="2"/>
        <v>0</v>
      </c>
      <c r="AK27" s="84" t="s">
        <v>975</v>
      </c>
      <c r="AL27" s="118"/>
      <c r="AM27" s="118"/>
    </row>
    <row r="28" spans="1:39" ht="12.75">
      <c r="A28" s="183" t="s">
        <v>981</v>
      </c>
      <c r="B28" s="87" t="s">
        <v>980</v>
      </c>
      <c r="C28" s="97">
        <f>'Initial data collection sheet'!B50</f>
        <v>0</v>
      </c>
      <c r="D28" s="87">
        <v>624</v>
      </c>
      <c r="E28" s="87">
        <v>624</v>
      </c>
      <c r="F28" s="87">
        <v>624</v>
      </c>
      <c r="G28" s="87">
        <v>624</v>
      </c>
      <c r="H28" s="99" t="e">
        <f t="shared" si="3"/>
        <v>#REF!</v>
      </c>
      <c r="I28" s="116" t="s">
        <v>979</v>
      </c>
      <c r="J28" s="176" t="e">
        <f t="shared" si="4"/>
        <v>#REF!</v>
      </c>
      <c r="K28" s="85" t="e">
        <f>IF(J28&gt;0,(J28*100/J68),0)</f>
        <v>#REF!</v>
      </c>
      <c r="L28" s="103"/>
      <c r="M28" s="162" t="s">
        <v>978</v>
      </c>
      <c r="N28" s="161" t="e">
        <f>K25</f>
        <v>#REF!</v>
      </c>
      <c r="P28" s="106">
        <v>5</v>
      </c>
      <c r="Q28" s="102">
        <v>3401</v>
      </c>
      <c r="R28" s="141" t="e">
        <f>IF(AND(R129=3400,N42&gt;66.667),3401,"")</f>
        <v>#REF!</v>
      </c>
      <c r="S28" s="140" t="e">
        <f>IF(R28=3401,5,"")</f>
        <v>#REF!</v>
      </c>
      <c r="T28" s="103"/>
      <c r="U28" s="115" t="s">
        <v>977</v>
      </c>
      <c r="V28" s="91"/>
      <c r="W28" s="91"/>
      <c r="X28" s="114"/>
      <c r="AG28" s="84" t="s">
        <v>976</v>
      </c>
      <c r="AH28" s="84">
        <v>4.2</v>
      </c>
      <c r="AI28" s="182">
        <f>IF('FBS classification '!C11=1,SUM('FBS classification '!G85:G87),0)</f>
        <v>0</v>
      </c>
      <c r="AJ28" s="103">
        <f t="shared" si="2"/>
        <v>0</v>
      </c>
      <c r="AK28" s="84" t="s">
        <v>975</v>
      </c>
      <c r="AL28" s="118"/>
      <c r="AM28" s="118"/>
    </row>
    <row r="29" spans="1:39" ht="12.75">
      <c r="A29" s="183" t="s">
        <v>974</v>
      </c>
      <c r="B29" s="87" t="s">
        <v>973</v>
      </c>
      <c r="C29" s="97">
        <f>'Initial data collection sheet'!B49</f>
        <v>0</v>
      </c>
      <c r="D29" s="87">
        <v>732</v>
      </c>
      <c r="E29" s="87">
        <v>851</v>
      </c>
      <c r="F29" s="87">
        <v>733</v>
      </c>
      <c r="G29" s="87">
        <v>733</v>
      </c>
      <c r="H29" s="99" t="e">
        <f t="shared" si="3"/>
        <v>#REF!</v>
      </c>
      <c r="I29" s="116" t="s">
        <v>972</v>
      </c>
      <c r="J29" s="176" t="e">
        <f t="shared" si="4"/>
        <v>#REF!</v>
      </c>
      <c r="K29" s="85" t="e">
        <f>IF(J29&gt;0,(J29*100/J68),0)</f>
        <v>#REF!</v>
      </c>
      <c r="L29" s="103"/>
      <c r="M29" s="162" t="s">
        <v>971</v>
      </c>
      <c r="N29" s="161" t="e">
        <f>SUM(K27:K29)</f>
        <v>#REF!</v>
      </c>
      <c r="P29" s="125">
        <v>6</v>
      </c>
      <c r="Q29" s="96">
        <v>2011</v>
      </c>
      <c r="R29" s="151" t="e">
        <f>IF(N31&gt;66.667,2011,"")</f>
        <v>#REF!</v>
      </c>
      <c r="S29" s="124"/>
      <c r="T29" s="103"/>
      <c r="U29" s="120" t="s">
        <v>970</v>
      </c>
      <c r="X29" s="119"/>
      <c r="AG29" s="84" t="s">
        <v>969</v>
      </c>
      <c r="AH29" s="84">
        <v>3.3</v>
      </c>
      <c r="AI29" s="182">
        <f>IF('FBS classification '!C11=1,0,SUM('FBS classification '!G88:G91))</f>
        <v>0</v>
      </c>
      <c r="AJ29" s="103">
        <f t="shared" si="2"/>
        <v>0</v>
      </c>
      <c r="AK29" s="84" t="s">
        <v>963</v>
      </c>
      <c r="AL29" s="118"/>
      <c r="AM29" s="118"/>
    </row>
    <row r="30" spans="1:39" ht="12.75">
      <c r="A30" s="183" t="s">
        <v>968</v>
      </c>
      <c r="B30" s="87" t="s">
        <v>967</v>
      </c>
      <c r="C30" s="97"/>
      <c r="D30" s="87">
        <v>0</v>
      </c>
      <c r="E30" s="87">
        <v>0</v>
      </c>
      <c r="F30" s="87">
        <v>0</v>
      </c>
      <c r="G30" s="87">
        <v>0</v>
      </c>
      <c r="H30" s="99" t="e">
        <f t="shared" si="3"/>
        <v>#REF!</v>
      </c>
      <c r="I30" s="116" t="s">
        <v>966</v>
      </c>
      <c r="J30" s="176" t="e">
        <f t="shared" si="4"/>
        <v>#REF!</v>
      </c>
      <c r="K30" s="85" t="e">
        <f>IF(J30&gt;0,(J30*100/J68),0)</f>
        <v>#REF!</v>
      </c>
      <c r="L30" s="103"/>
      <c r="M30" s="162" t="s">
        <v>954</v>
      </c>
      <c r="N30" s="161" t="e">
        <f>K32</f>
        <v>#REF!</v>
      </c>
      <c r="P30" s="120"/>
      <c r="Q30" s="84">
        <v>2013</v>
      </c>
      <c r="R30" s="122" t="e">
        <f>IF(AND(R115=2010,R29="",R25=""),2013,"")</f>
        <v>#REF!</v>
      </c>
      <c r="S30" s="121"/>
      <c r="T30" s="103"/>
      <c r="U30" s="120" t="s">
        <v>965</v>
      </c>
      <c r="X30" s="119"/>
      <c r="AG30" s="84" t="s">
        <v>964</v>
      </c>
      <c r="AH30" s="84">
        <v>2.6</v>
      </c>
      <c r="AI30" s="182">
        <f>IF('FBS classification '!C11=1,SUM('FBS classification '!G88:G91),0)</f>
        <v>0</v>
      </c>
      <c r="AJ30" s="103">
        <f t="shared" si="2"/>
        <v>0</v>
      </c>
      <c r="AK30" s="84" t="s">
        <v>963</v>
      </c>
      <c r="AL30" s="118"/>
      <c r="AM30" s="118"/>
    </row>
    <row r="31" spans="1:39" ht="12.75">
      <c r="A31" s="183" t="s">
        <v>962</v>
      </c>
      <c r="B31" s="87" t="s">
        <v>961</v>
      </c>
      <c r="C31" s="97"/>
      <c r="D31" s="87">
        <v>0</v>
      </c>
      <c r="E31" s="87">
        <v>0</v>
      </c>
      <c r="F31" s="87">
        <v>0</v>
      </c>
      <c r="G31" s="87">
        <v>0</v>
      </c>
      <c r="H31" s="99" t="e">
        <f t="shared" si="3"/>
        <v>#REF!</v>
      </c>
      <c r="I31" s="116" t="s">
        <v>960</v>
      </c>
      <c r="J31" s="176" t="e">
        <f t="shared" si="4"/>
        <v>#REF!</v>
      </c>
      <c r="K31" s="85" t="e">
        <f>IF(J31&gt;0,(J31*100/J68),0)</f>
        <v>#REF!</v>
      </c>
      <c r="L31" s="103"/>
      <c r="M31" s="162" t="s">
        <v>948</v>
      </c>
      <c r="N31" s="161" t="e">
        <f>K33</f>
        <v>#REF!</v>
      </c>
      <c r="P31" s="120"/>
      <c r="Q31" s="84">
        <v>2021</v>
      </c>
      <c r="R31" s="122" t="e">
        <f>IF(N33&gt;66.667,2021,"")</f>
        <v>#REF!</v>
      </c>
      <c r="S31" s="121"/>
      <c r="T31" s="103"/>
      <c r="U31" s="120" t="s">
        <v>959</v>
      </c>
      <c r="X31" s="119"/>
      <c r="AG31" s="84" t="s">
        <v>958</v>
      </c>
      <c r="AH31" s="84">
        <v>14</v>
      </c>
      <c r="AI31" s="182">
        <f>SUM('FBS classification '!G94:G95)</f>
        <v>0</v>
      </c>
      <c r="AJ31" s="103">
        <f t="shared" si="2"/>
        <v>0</v>
      </c>
      <c r="AK31" s="84" t="s">
        <v>957</v>
      </c>
      <c r="AL31" s="118"/>
      <c r="AM31" s="118"/>
    </row>
    <row r="32" spans="1:39" ht="12.75">
      <c r="A32" s="183" t="s">
        <v>956</v>
      </c>
      <c r="B32" s="87" t="s">
        <v>955</v>
      </c>
      <c r="C32" s="97">
        <f>'Initial data collection sheet'!B52+'Initial data collection sheet'!B53+'Initial data collection sheet'!B54+'Initial data collection sheet'!B55+'Initial data collection sheet'!B56+'Initial data collection sheet'!B57+'Initial data collection sheet'!B59+'Initial data collection sheet'!B58+'Initial data collection sheet'!B60+'Initial data collection sheet'!B61+'Initial data collection sheet'!B62+'Initial data collection sheet'!B63</f>
        <v>0</v>
      </c>
      <c r="D32" s="87">
        <v>4877</v>
      </c>
      <c r="E32" s="87">
        <v>6057</v>
      </c>
      <c r="F32" s="87">
        <v>7633</v>
      </c>
      <c r="G32" s="87">
        <v>7633</v>
      </c>
      <c r="H32" s="99" t="e">
        <f t="shared" si="3"/>
        <v>#REF!</v>
      </c>
      <c r="I32" s="116" t="s">
        <v>954</v>
      </c>
      <c r="J32" s="176" t="e">
        <f t="shared" si="4"/>
        <v>#REF!</v>
      </c>
      <c r="K32" s="85" t="e">
        <f>IF(J32&gt;0,(J32*100/J68),0)</f>
        <v>#REF!</v>
      </c>
      <c r="L32" s="103"/>
      <c r="M32" s="162" t="s">
        <v>943</v>
      </c>
      <c r="N32" s="161" t="e">
        <f>K34</f>
        <v>#REF!</v>
      </c>
      <c r="P32" s="120"/>
      <c r="Q32" s="84">
        <v>2023</v>
      </c>
      <c r="R32" s="122" t="e">
        <f>IF(AND(R116=2020,R31="",R26=""),2023,"")</f>
        <v>#REF!</v>
      </c>
      <c r="S32" s="121"/>
      <c r="T32" s="103"/>
      <c r="U32" s="120" t="s">
        <v>953</v>
      </c>
      <c r="X32" s="119"/>
      <c r="AG32" s="84" t="s">
        <v>952</v>
      </c>
      <c r="AH32" s="84">
        <v>1.9</v>
      </c>
      <c r="AI32" s="182">
        <f>'FBS classification '!G93+SUM('FBS classification '!G96:G98)</f>
        <v>0</v>
      </c>
      <c r="AJ32" s="103">
        <f t="shared" si="2"/>
        <v>0</v>
      </c>
      <c r="AK32" s="84" t="s">
        <v>951</v>
      </c>
      <c r="AL32" s="118"/>
      <c r="AM32" s="118"/>
    </row>
    <row r="33" spans="1:39" ht="12.75">
      <c r="A33" s="183" t="s">
        <v>950</v>
      </c>
      <c r="B33" s="87" t="s">
        <v>949</v>
      </c>
      <c r="C33" s="97">
        <f>'Initial data collection sheet'!B64+'Initial data collection sheet'!B65</f>
        <v>0</v>
      </c>
      <c r="D33" s="87">
        <v>9448</v>
      </c>
      <c r="E33" s="87">
        <v>8665</v>
      </c>
      <c r="F33" s="87">
        <v>10101</v>
      </c>
      <c r="G33" s="87">
        <v>10101</v>
      </c>
      <c r="H33" s="99" t="e">
        <f t="shared" si="3"/>
        <v>#REF!</v>
      </c>
      <c r="I33" s="116" t="s">
        <v>948</v>
      </c>
      <c r="J33" s="176" t="e">
        <f t="shared" si="4"/>
        <v>#REF!</v>
      </c>
      <c r="K33" s="85" t="e">
        <f>IF(J33&gt;0,(J33*100/J68),0)</f>
        <v>#REF!</v>
      </c>
      <c r="L33" s="103"/>
      <c r="M33" s="162" t="s">
        <v>938</v>
      </c>
      <c r="N33" s="161" t="e">
        <f>K35</f>
        <v>#REF!</v>
      </c>
      <c r="P33" s="120"/>
      <c r="Q33" s="84">
        <v>2031</v>
      </c>
      <c r="R33" s="122" t="e">
        <f>IF(AND((N31+N33)&gt;66.667,R29="",R31=""),2031,"")</f>
        <v>#REF!</v>
      </c>
      <c r="S33" s="121"/>
      <c r="T33" s="103"/>
      <c r="U33" s="120" t="s">
        <v>947</v>
      </c>
      <c r="X33" s="119"/>
      <c r="AG33" s="84" t="s">
        <v>946</v>
      </c>
      <c r="AH33" s="84">
        <v>0.2</v>
      </c>
      <c r="AI33" s="182">
        <f>'FBS classification '!G99</f>
        <v>0</v>
      </c>
      <c r="AJ33" s="103">
        <f t="shared" si="2"/>
        <v>0</v>
      </c>
      <c r="AK33" s="84" t="s">
        <v>945</v>
      </c>
      <c r="AL33" s="118"/>
      <c r="AM33" s="118"/>
    </row>
    <row r="34" spans="1:39" ht="12.75">
      <c r="B34" s="87" t="s">
        <v>944</v>
      </c>
      <c r="C34" s="97">
        <f>'Initial data collection sheet'!B66</f>
        <v>0</v>
      </c>
      <c r="D34" s="87">
        <v>325962</v>
      </c>
      <c r="E34" s="87">
        <v>325962</v>
      </c>
      <c r="F34" s="87">
        <v>325962</v>
      </c>
      <c r="G34" s="87">
        <v>325962</v>
      </c>
      <c r="H34" s="99" t="e">
        <f t="shared" si="3"/>
        <v>#REF!</v>
      </c>
      <c r="I34" s="116" t="s">
        <v>943</v>
      </c>
      <c r="J34" s="176" t="e">
        <f t="shared" si="4"/>
        <v>#REF!</v>
      </c>
      <c r="K34" s="85" t="e">
        <f>IF(J34&gt;0,(J34*100/J68),0)</f>
        <v>#REF!</v>
      </c>
      <c r="L34" s="103"/>
      <c r="M34" s="162" t="s">
        <v>932</v>
      </c>
      <c r="N34" s="161" t="e">
        <f>K36</f>
        <v>#REF!</v>
      </c>
      <c r="P34" s="120"/>
      <c r="Q34" s="84">
        <v>2033</v>
      </c>
      <c r="R34" s="122" t="e">
        <f>IF(N43&gt;66.667,2033,"")</f>
        <v>#REF!</v>
      </c>
      <c r="S34" s="121"/>
      <c r="U34" s="106" t="s">
        <v>942</v>
      </c>
      <c r="V34" s="102"/>
      <c r="W34" s="102"/>
      <c r="X34" s="119"/>
      <c r="AG34" s="84" t="s">
        <v>941</v>
      </c>
      <c r="AH34" s="84">
        <v>0.04</v>
      </c>
      <c r="AI34" s="110">
        <f>SUM('FBS classification '!G103:G105)</f>
        <v>0</v>
      </c>
      <c r="AJ34" s="103">
        <f t="shared" si="2"/>
        <v>0</v>
      </c>
      <c r="AK34" s="84" t="s">
        <v>940</v>
      </c>
      <c r="AL34" s="118"/>
      <c r="AM34" s="118"/>
    </row>
    <row r="35" spans="1:39" ht="12.75">
      <c r="B35" s="87" t="s">
        <v>939</v>
      </c>
      <c r="C35" s="97"/>
      <c r="D35" s="87">
        <v>4456</v>
      </c>
      <c r="E35" s="87">
        <v>4456</v>
      </c>
      <c r="F35" s="87">
        <v>4456</v>
      </c>
      <c r="G35" s="87">
        <v>4456</v>
      </c>
      <c r="H35" s="99" t="e">
        <f t="shared" si="3"/>
        <v>#REF!</v>
      </c>
      <c r="I35" s="116" t="s">
        <v>938</v>
      </c>
      <c r="J35" s="176" t="e">
        <f t="shared" si="4"/>
        <v>#REF!</v>
      </c>
      <c r="K35" s="85" t="e">
        <f>IF(J35&gt;0,(J35*100/J68),0)</f>
        <v>#REF!</v>
      </c>
      <c r="L35" s="103"/>
      <c r="M35" s="162" t="s">
        <v>937</v>
      </c>
      <c r="N35" s="162"/>
      <c r="P35" s="120"/>
      <c r="Q35" s="84">
        <v>2034</v>
      </c>
      <c r="R35" s="122" t="e">
        <f>IF(AND(R117=2030,R33="",R27="",R94=""),2034,"")</f>
        <v>#REF!</v>
      </c>
      <c r="S35" s="121"/>
      <c r="T35" s="103"/>
      <c r="U35" s="120" t="s">
        <v>936</v>
      </c>
      <c r="X35" s="119"/>
      <c r="AG35" s="84" t="s">
        <v>935</v>
      </c>
      <c r="AH35" s="84">
        <v>0.17</v>
      </c>
      <c r="AI35" s="110">
        <f>'FBS classification '!G100</f>
        <v>0</v>
      </c>
      <c r="AJ35" s="103">
        <f t="shared" si="2"/>
        <v>0</v>
      </c>
      <c r="AK35" s="84" t="s">
        <v>934</v>
      </c>
      <c r="AL35" s="118"/>
      <c r="AM35" s="118"/>
    </row>
    <row r="36" spans="1:39" ht="12.75">
      <c r="B36" s="87" t="s">
        <v>933</v>
      </c>
      <c r="C36" s="97"/>
      <c r="D36" s="87">
        <v>440984</v>
      </c>
      <c r="E36" s="87">
        <v>440984</v>
      </c>
      <c r="F36" s="87">
        <v>440984</v>
      </c>
      <c r="G36" s="87">
        <v>440984</v>
      </c>
      <c r="H36" s="99" t="e">
        <f t="shared" si="3"/>
        <v>#REF!</v>
      </c>
      <c r="I36" s="116" t="s">
        <v>932</v>
      </c>
      <c r="J36" s="176" t="e">
        <f t="shared" si="4"/>
        <v>#REF!</v>
      </c>
      <c r="K36" s="85" t="e">
        <f>IF(J36&gt;0,(J36*100/J68),0)</f>
        <v>#REF!</v>
      </c>
      <c r="L36" s="103"/>
      <c r="M36" s="162" t="s">
        <v>931</v>
      </c>
      <c r="N36" s="162"/>
      <c r="P36" s="120"/>
      <c r="Q36" s="84">
        <v>3110</v>
      </c>
      <c r="R36" s="122" t="str">
        <f>IF(N71&gt;66.667,3110,"")</f>
        <v/>
      </c>
      <c r="S36" s="121"/>
      <c r="T36" s="103"/>
      <c r="U36" s="120" t="s">
        <v>930</v>
      </c>
      <c r="X36" s="119"/>
      <c r="AG36" s="84" t="s">
        <v>929</v>
      </c>
      <c r="AH36" s="84">
        <v>0.12</v>
      </c>
      <c r="AI36" s="110">
        <f>'FBS classification '!G101</f>
        <v>0</v>
      </c>
      <c r="AJ36" s="103">
        <f t="shared" si="2"/>
        <v>0</v>
      </c>
      <c r="AK36" s="84" t="s">
        <v>928</v>
      </c>
      <c r="AL36" s="118"/>
      <c r="AM36" s="118"/>
    </row>
    <row r="37" spans="1:39" ht="12.75">
      <c r="B37" s="87" t="s">
        <v>927</v>
      </c>
      <c r="C37" s="97"/>
      <c r="D37" s="87">
        <v>874</v>
      </c>
      <c r="E37" s="87">
        <v>874</v>
      </c>
      <c r="F37" s="87">
        <v>874</v>
      </c>
      <c r="G37" s="87">
        <v>874</v>
      </c>
      <c r="H37" s="99" t="e">
        <f t="shared" si="3"/>
        <v>#REF!</v>
      </c>
      <c r="I37" s="116" t="s">
        <v>926</v>
      </c>
      <c r="J37" s="176" t="e">
        <f t="shared" si="4"/>
        <v>#REF!</v>
      </c>
      <c r="K37" s="85" t="e">
        <f>IF(J37&gt;0,(J37*100/J68),0)</f>
        <v>#REF!</v>
      </c>
      <c r="L37" s="103"/>
      <c r="M37" s="162" t="s">
        <v>926</v>
      </c>
      <c r="N37" s="161" t="e">
        <f t="shared" ref="N37:N42" si="5">K37</f>
        <v>#REF!</v>
      </c>
      <c r="P37" s="120"/>
      <c r="Q37" s="84">
        <v>3120</v>
      </c>
      <c r="R37" s="122" t="str">
        <f>IF(N72&gt;66.667,3120,"")</f>
        <v/>
      </c>
      <c r="S37" s="121"/>
      <c r="T37" s="103"/>
      <c r="U37" s="120" t="s">
        <v>925</v>
      </c>
      <c r="X37" s="119"/>
      <c r="AG37" s="84" t="s">
        <v>924</v>
      </c>
      <c r="AH37" s="84">
        <v>4.4999999999999998E-2</v>
      </c>
      <c r="AI37" s="110">
        <f>'FBS classification '!G106</f>
        <v>0</v>
      </c>
      <c r="AJ37" s="103">
        <f t="shared" si="2"/>
        <v>0</v>
      </c>
      <c r="AK37" s="84" t="s">
        <v>923</v>
      </c>
      <c r="AL37" s="118"/>
      <c r="AM37" s="118"/>
    </row>
    <row r="38" spans="1:39" ht="12.75">
      <c r="B38" s="87" t="s">
        <v>922</v>
      </c>
      <c r="C38" s="97"/>
      <c r="D38" s="87">
        <v>775</v>
      </c>
      <c r="E38" s="87">
        <v>775</v>
      </c>
      <c r="F38" s="87">
        <v>775</v>
      </c>
      <c r="G38" s="87">
        <v>775</v>
      </c>
      <c r="H38" s="99" t="e">
        <f t="shared" si="3"/>
        <v>#REF!</v>
      </c>
      <c r="I38" s="116" t="s">
        <v>921</v>
      </c>
      <c r="J38" s="176" t="e">
        <f t="shared" si="4"/>
        <v>#REF!</v>
      </c>
      <c r="K38" s="85" t="e">
        <f>IF(J38&gt;0,(J38*100/J68),0)</f>
        <v>#REF!</v>
      </c>
      <c r="L38" s="103"/>
      <c r="M38" s="162" t="s">
        <v>921</v>
      </c>
      <c r="N38" s="161" t="e">
        <f t="shared" si="5"/>
        <v>#REF!</v>
      </c>
      <c r="P38" s="120"/>
      <c r="Q38" s="84">
        <v>3130</v>
      </c>
      <c r="R38" s="122" t="str">
        <f>IF(AND((N71+N72)&gt;66.667,N71&lt;=66.667,N72&lt;=66.667),3130,"")</f>
        <v/>
      </c>
      <c r="S38" s="121"/>
      <c r="T38" s="103"/>
      <c r="U38" s="120" t="s">
        <v>920</v>
      </c>
      <c r="X38" s="119"/>
      <c r="AG38" s="84" t="s">
        <v>919</v>
      </c>
      <c r="AH38" s="84">
        <v>6</v>
      </c>
      <c r="AI38" s="103">
        <f>SUM('FBS classification '!C232:D235)</f>
        <v>0</v>
      </c>
      <c r="AJ38" s="103">
        <f t="shared" si="2"/>
        <v>0</v>
      </c>
      <c r="AK38" s="84" t="s">
        <v>918</v>
      </c>
      <c r="AL38" s="118"/>
      <c r="AM38" s="118"/>
    </row>
    <row r="39" spans="1:39" ht="12.75">
      <c r="B39" s="87" t="s">
        <v>917</v>
      </c>
      <c r="C39" s="97">
        <f>'Initial data collection sheet'!B69+'Initial data collection sheet'!B70+'Initial data collection sheet'!B71+'Initial data collection sheet'!B72+'Initial data collection sheet'!B73+'Initial data collection sheet'!B78+'Initial data collection sheet'!B79+'Initial data collection sheet'!B80+'Initial data collection sheet'!B81+'Initial data collection sheet'!B82</f>
        <v>0</v>
      </c>
      <c r="D39" s="87">
        <v>6061</v>
      </c>
      <c r="E39" s="87">
        <v>4234</v>
      </c>
      <c r="F39" s="87">
        <v>4165</v>
      </c>
      <c r="G39" s="87">
        <v>4165</v>
      </c>
      <c r="H39" s="99" t="e">
        <f t="shared" si="3"/>
        <v>#REF!</v>
      </c>
      <c r="I39" s="116" t="s">
        <v>916</v>
      </c>
      <c r="J39" s="176" t="e">
        <f t="shared" si="4"/>
        <v>#REF!</v>
      </c>
      <c r="K39" s="85" t="e">
        <f>IF(J39&gt;0,(J39*100/J68),0)</f>
        <v>#REF!</v>
      </c>
      <c r="L39" s="103"/>
      <c r="M39" s="162" t="s">
        <v>916</v>
      </c>
      <c r="N39" s="161" t="e">
        <f t="shared" si="5"/>
        <v>#REF!</v>
      </c>
      <c r="P39" s="120"/>
      <c r="Q39" s="84">
        <v>3140</v>
      </c>
      <c r="R39" s="122" t="e">
        <f>IF(AND(R119=3100,R123="",R37="",R38=""),3140,"")</f>
        <v>#REF!</v>
      </c>
      <c r="S39" s="121"/>
      <c r="T39" s="103"/>
      <c r="U39" s="120" t="s">
        <v>915</v>
      </c>
      <c r="X39" s="119"/>
      <c r="AG39" s="84" t="s">
        <v>536</v>
      </c>
      <c r="AH39" s="84">
        <v>150</v>
      </c>
      <c r="AI39" s="182">
        <f>'FBS classification '!G107</f>
        <v>0</v>
      </c>
      <c r="AJ39" s="103">
        <f t="shared" si="2"/>
        <v>0</v>
      </c>
      <c r="AK39" s="84" t="s">
        <v>914</v>
      </c>
      <c r="AL39" s="118"/>
      <c r="AM39" s="118"/>
    </row>
    <row r="40" spans="1:39" ht="12.75">
      <c r="B40" s="87" t="s">
        <v>913</v>
      </c>
      <c r="C40" s="97"/>
      <c r="D40" s="87">
        <v>0</v>
      </c>
      <c r="E40" s="87">
        <v>0</v>
      </c>
      <c r="F40" s="87">
        <v>0</v>
      </c>
      <c r="G40" s="87">
        <v>0</v>
      </c>
      <c r="H40" s="99" t="e">
        <f t="shared" si="3"/>
        <v>#REF!</v>
      </c>
      <c r="I40" s="116" t="s">
        <v>835</v>
      </c>
      <c r="J40" s="176" t="e">
        <f t="shared" si="4"/>
        <v>#REF!</v>
      </c>
      <c r="K40" s="85" t="e">
        <f>IF(J40&gt;0,(J40*100/J68),0)</f>
        <v>#REF!</v>
      </c>
      <c r="L40" s="103"/>
      <c r="M40" s="162" t="s">
        <v>912</v>
      </c>
      <c r="N40" s="161" t="e">
        <f t="shared" si="5"/>
        <v>#REF!</v>
      </c>
      <c r="P40" s="120"/>
      <c r="Q40" s="84">
        <v>3402</v>
      </c>
      <c r="R40" s="122" t="e">
        <f>IF(AND(R129=3400,R28=""),3402,"")</f>
        <v>#REF!</v>
      </c>
      <c r="S40" s="121"/>
      <c r="T40" s="103"/>
      <c r="U40" s="120" t="s">
        <v>738</v>
      </c>
      <c r="X40" s="119"/>
      <c r="AG40" s="84" t="s">
        <v>838</v>
      </c>
      <c r="AH40" s="84">
        <v>20</v>
      </c>
      <c r="AI40" s="182">
        <f>'FBS classification '!G108</f>
        <v>0</v>
      </c>
      <c r="AJ40" s="103">
        <f t="shared" si="2"/>
        <v>0</v>
      </c>
      <c r="AK40" s="84" t="s">
        <v>911</v>
      </c>
      <c r="AL40" s="118"/>
      <c r="AM40" s="118"/>
    </row>
    <row r="41" spans="1:39" ht="12.75">
      <c r="B41" s="87" t="s">
        <v>910</v>
      </c>
      <c r="C41" s="97"/>
      <c r="D41" s="87">
        <v>1552</v>
      </c>
      <c r="E41" s="87">
        <v>1552</v>
      </c>
      <c r="F41" s="87">
        <v>1552</v>
      </c>
      <c r="G41" s="87">
        <v>1552</v>
      </c>
      <c r="H41" s="99" t="e">
        <f t="shared" si="3"/>
        <v>#REF!</v>
      </c>
      <c r="I41" s="116" t="s">
        <v>909</v>
      </c>
      <c r="J41" s="176" t="e">
        <f t="shared" si="4"/>
        <v>#REF!</v>
      </c>
      <c r="K41" s="85" t="e">
        <f>IF(J41&gt;0,(J41*100/J68),0)</f>
        <v>#REF!</v>
      </c>
      <c r="L41" s="103"/>
      <c r="M41" s="162" t="s">
        <v>909</v>
      </c>
      <c r="N41" s="161" t="e">
        <f t="shared" si="5"/>
        <v>#REF!</v>
      </c>
      <c r="P41" s="120"/>
      <c r="Q41" s="84">
        <v>6010</v>
      </c>
      <c r="R41" s="122" t="e">
        <f>IF(AND(N16&gt;33.333,N17&gt;33.333),6010,"")</f>
        <v>#REF!</v>
      </c>
      <c r="S41" s="121"/>
      <c r="T41" s="103"/>
      <c r="U41" s="120" t="s">
        <v>908</v>
      </c>
      <c r="X41" s="119"/>
      <c r="AG41" s="84" t="s">
        <v>858</v>
      </c>
      <c r="AH41" s="84">
        <v>15</v>
      </c>
      <c r="AI41" s="182">
        <f>'FBS classification '!G109+'FBS classification '!G110</f>
        <v>0</v>
      </c>
      <c r="AJ41" s="103">
        <f t="shared" si="2"/>
        <v>0</v>
      </c>
      <c r="AK41" s="84" t="s">
        <v>907</v>
      </c>
      <c r="AL41" s="118"/>
      <c r="AM41" s="118"/>
    </row>
    <row r="42" spans="1:39" ht="12.75">
      <c r="B42" s="87" t="s">
        <v>906</v>
      </c>
      <c r="C42" s="97"/>
      <c r="D42" s="87">
        <v>43813</v>
      </c>
      <c r="E42" s="87">
        <v>43813</v>
      </c>
      <c r="F42" s="87">
        <v>43813</v>
      </c>
      <c r="G42" s="87">
        <v>43813</v>
      </c>
      <c r="H42" s="99" t="e">
        <f t="shared" si="3"/>
        <v>#REF!</v>
      </c>
      <c r="I42" s="116" t="s">
        <v>905</v>
      </c>
      <c r="J42" s="176" t="e">
        <f t="shared" si="4"/>
        <v>#REF!</v>
      </c>
      <c r="K42" s="85" t="e">
        <f>IF(J42&gt;0,(J42*100/J68),0)</f>
        <v>#REF!</v>
      </c>
      <c r="L42" s="103"/>
      <c r="M42" s="162" t="s">
        <v>905</v>
      </c>
      <c r="N42" s="161" t="e">
        <f t="shared" si="5"/>
        <v>#REF!</v>
      </c>
      <c r="P42" s="115"/>
      <c r="Q42" s="91">
        <v>6060</v>
      </c>
      <c r="R42" s="117" t="e">
        <f>IF(OR(AND(N15&lt;=33.333,N16&gt;33.333,N16&lt;=66.667,N17&lt;=33.333,N18&lt;=33.333,N19&lt;=33.333),AND(N15&lt;=33.333,N16&lt;=33.333,N17&gt;33.333,N17&lt;=66.667,N18&lt;=33.333,N19&lt;=33.333)),6060,"")</f>
        <v>#REF!</v>
      </c>
      <c r="S42" s="142" t="str">
        <f>IF(COUNT(R29:R42)=1,6,"")</f>
        <v/>
      </c>
      <c r="T42" s="103"/>
      <c r="U42" s="120" t="s">
        <v>904</v>
      </c>
      <c r="X42" s="119"/>
      <c r="AG42" s="84" t="s">
        <v>903</v>
      </c>
      <c r="AH42" s="84">
        <v>4</v>
      </c>
      <c r="AI42" s="103">
        <f>SUM('FBS classification '!C223:D225)</f>
        <v>0</v>
      </c>
      <c r="AJ42" s="103">
        <f t="shared" si="2"/>
        <v>0</v>
      </c>
      <c r="AK42" s="84" t="s">
        <v>902</v>
      </c>
      <c r="AL42" s="118"/>
      <c r="AM42" s="118"/>
    </row>
    <row r="43" spans="1:39" ht="12.75">
      <c r="B43" s="87" t="s">
        <v>901</v>
      </c>
      <c r="C43" s="97"/>
      <c r="D43" s="87">
        <v>362</v>
      </c>
      <c r="E43" s="87">
        <v>364</v>
      </c>
      <c r="F43" s="87">
        <v>357</v>
      </c>
      <c r="G43" s="87">
        <v>357</v>
      </c>
      <c r="H43" s="99" t="e">
        <f t="shared" si="3"/>
        <v>#REF!</v>
      </c>
      <c r="I43" s="116" t="s">
        <v>895</v>
      </c>
      <c r="J43" s="176" t="e">
        <f t="shared" si="4"/>
        <v>#REF!</v>
      </c>
      <c r="K43" s="85" t="e">
        <f>IF(J43&gt;0,(J43*100/J68),0)</f>
        <v>#REF!</v>
      </c>
      <c r="L43" s="103"/>
      <c r="M43" s="162" t="s">
        <v>896</v>
      </c>
      <c r="N43" s="161" t="e">
        <f>K44</f>
        <v>#REF!</v>
      </c>
      <c r="P43" s="125">
        <v>7</v>
      </c>
      <c r="Q43" s="96">
        <v>5011</v>
      </c>
      <c r="R43" s="151" t="e">
        <f>IF(N56&gt;66.667,5011,"")</f>
        <v>#REF!</v>
      </c>
      <c r="S43" s="124"/>
      <c r="T43" s="103"/>
      <c r="U43" s="125" t="s">
        <v>900</v>
      </c>
      <c r="V43" s="96"/>
      <c r="W43" s="96"/>
      <c r="X43" s="124"/>
      <c r="AG43" s="84" t="s">
        <v>899</v>
      </c>
      <c r="AH43" s="181">
        <v>1.5</v>
      </c>
      <c r="AI43" s="180">
        <f>SUM('FBS classification '!C227:D230)</f>
        <v>0</v>
      </c>
      <c r="AJ43" s="103">
        <f t="shared" si="2"/>
        <v>0</v>
      </c>
      <c r="AK43" s="84" t="s">
        <v>898</v>
      </c>
      <c r="AL43" s="118"/>
      <c r="AM43" s="118"/>
    </row>
    <row r="44" spans="1:39" ht="12.75">
      <c r="B44" s="87" t="s">
        <v>897</v>
      </c>
      <c r="C44" s="97"/>
      <c r="D44" s="87">
        <v>486500</v>
      </c>
      <c r="E44" s="87">
        <v>486500</v>
      </c>
      <c r="F44" s="87">
        <v>486500</v>
      </c>
      <c r="G44" s="87">
        <v>486500</v>
      </c>
      <c r="H44" s="99" t="e">
        <f t="shared" si="3"/>
        <v>#REF!</v>
      </c>
      <c r="I44" s="116" t="s">
        <v>896</v>
      </c>
      <c r="J44" s="176" t="e">
        <f t="shared" si="4"/>
        <v>#REF!</v>
      </c>
      <c r="K44" s="85" t="e">
        <f>IF(J44&gt;0,(J44*100/J68),0)</f>
        <v>#REF!</v>
      </c>
      <c r="L44" s="103"/>
      <c r="M44" s="162" t="s">
        <v>895</v>
      </c>
      <c r="N44" s="161" t="e">
        <f>K43</f>
        <v>#REF!</v>
      </c>
      <c r="P44" s="120"/>
      <c r="Q44" s="84">
        <v>5012</v>
      </c>
      <c r="R44" s="122" t="e">
        <f>IF((N55+N57)&gt;66.667,5012,"")</f>
        <v>#REF!</v>
      </c>
      <c r="S44" s="121"/>
      <c r="T44" s="103"/>
      <c r="U44" s="120" t="s">
        <v>894</v>
      </c>
      <c r="X44" s="119"/>
      <c r="AL44" s="118"/>
      <c r="AM44" s="118"/>
    </row>
    <row r="45" spans="1:39" ht="12.75">
      <c r="B45" s="87" t="s">
        <v>893</v>
      </c>
      <c r="C45" s="97">
        <f>'Initial data collection sheet'!B94+'Initial data collection sheet'!B95+'Initial data collection sheet'!B96+'Initial data collection sheet'!B97+'Initial data collection sheet'!B98+'Initial data collection sheet'!B99+'Initial data collection sheet'!B101+'Initial data collection sheet'!B105</f>
        <v>0</v>
      </c>
      <c r="D45" s="87">
        <v>0</v>
      </c>
      <c r="E45" s="87">
        <v>0</v>
      </c>
      <c r="F45" s="87">
        <v>0</v>
      </c>
      <c r="G45" s="87">
        <v>0</v>
      </c>
      <c r="H45" s="99" t="e">
        <f t="shared" si="3"/>
        <v>#REF!</v>
      </c>
      <c r="I45" s="116" t="s">
        <v>839</v>
      </c>
      <c r="J45" s="176" t="e">
        <f t="shared" si="4"/>
        <v>#REF!</v>
      </c>
      <c r="K45" s="85" t="e">
        <f>IF(J45&gt;0,(J45*100/J68),0)</f>
        <v>#REF!</v>
      </c>
      <c r="L45" s="103"/>
      <c r="M45" s="162" t="s">
        <v>840</v>
      </c>
      <c r="N45" s="161" t="e">
        <f>K67</f>
        <v>#REF!</v>
      </c>
      <c r="P45" s="115"/>
      <c r="Q45" s="91">
        <v>5013</v>
      </c>
      <c r="R45" s="117" t="e">
        <f>IF(AND(R138=5010,R43="",R44=""),5013,"")</f>
        <v>#REF!</v>
      </c>
      <c r="S45" s="142" t="str">
        <f>IF(COUNT(R43:R45)=1,7,"")</f>
        <v/>
      </c>
      <c r="T45" s="103"/>
      <c r="U45" s="115" t="s">
        <v>892</v>
      </c>
      <c r="V45" s="91"/>
      <c r="W45" s="91"/>
      <c r="X45" s="119"/>
      <c r="AH45" s="84" t="s">
        <v>26</v>
      </c>
      <c r="AI45" s="103"/>
      <c r="AJ45" s="85">
        <f>SUM(AJ7:AJ44)</f>
        <v>0</v>
      </c>
      <c r="AK45" s="84" t="s">
        <v>539</v>
      </c>
      <c r="AL45" s="118"/>
      <c r="AM45" s="118"/>
    </row>
    <row r="46" spans="1:39" ht="12.75">
      <c r="B46" s="87" t="s">
        <v>832</v>
      </c>
      <c r="C46" s="162" t="s">
        <v>891</v>
      </c>
      <c r="D46" s="179"/>
      <c r="E46" s="179"/>
      <c r="F46" s="179"/>
      <c r="G46" s="179"/>
      <c r="H46" s="87"/>
      <c r="I46" s="116"/>
      <c r="J46" s="149"/>
      <c r="K46" s="85"/>
      <c r="L46" s="103"/>
      <c r="M46" s="162" t="s">
        <v>880</v>
      </c>
      <c r="N46" s="161" t="e">
        <f>K50</f>
        <v>#REF!</v>
      </c>
      <c r="P46" s="125">
        <v>8</v>
      </c>
      <c r="Q46" s="96">
        <v>5021</v>
      </c>
      <c r="R46" s="151" t="e">
        <f>IF(N59&gt;66.667,5021,"")</f>
        <v>#REF!</v>
      </c>
      <c r="S46" s="124"/>
      <c r="T46" s="103"/>
      <c r="U46" s="125" t="s">
        <v>890</v>
      </c>
      <c r="V46" s="96"/>
      <c r="W46" s="96"/>
      <c r="X46" s="124"/>
      <c r="AH46" s="84" t="s">
        <v>889</v>
      </c>
      <c r="AJ46" s="85">
        <f>AJ45/1900</f>
        <v>0</v>
      </c>
      <c r="AK46" s="84" t="s">
        <v>888</v>
      </c>
      <c r="AL46" s="118"/>
      <c r="AM46" s="118"/>
    </row>
    <row r="47" spans="1:39" ht="12.75">
      <c r="B47" s="87" t="s">
        <v>887</v>
      </c>
      <c r="C47" s="175">
        <f>'Initial data collection sheet'!B113</f>
        <v>0</v>
      </c>
      <c r="D47" s="87">
        <v>1244</v>
      </c>
      <c r="E47" s="87">
        <v>1263</v>
      </c>
      <c r="F47" s="87">
        <v>1179</v>
      </c>
      <c r="G47" s="87">
        <v>1170</v>
      </c>
      <c r="H47" s="87" t="e">
        <f t="shared" ref="H47:H67" si="6">IF(C$10=411,D47,IF(C$10=412,E47,IF(C$10=413,F47,IF(C$10=421,G47))))</f>
        <v>#REF!</v>
      </c>
      <c r="I47" s="178" t="s">
        <v>877</v>
      </c>
      <c r="J47" s="176" t="e">
        <f t="shared" ref="J47:J56" si="7">H47*C47</f>
        <v>#REF!</v>
      </c>
      <c r="K47" s="85" t="e">
        <f>IF(J47&gt;0,(J47*100/J68),0)</f>
        <v>#REF!</v>
      </c>
      <c r="L47" s="103"/>
      <c r="M47" s="162" t="s">
        <v>878</v>
      </c>
      <c r="N47" s="161" t="e">
        <f>K51</f>
        <v>#REF!</v>
      </c>
      <c r="P47" s="120"/>
      <c r="Q47" s="84">
        <v>5022</v>
      </c>
      <c r="R47" s="122" t="e">
        <f>IF((N58+N60)&gt;66.667,5022,"")</f>
        <v>#REF!</v>
      </c>
      <c r="S47" s="121"/>
      <c r="T47" s="103"/>
      <c r="U47" s="120" t="s">
        <v>886</v>
      </c>
      <c r="X47" s="119"/>
      <c r="AL47" s="118"/>
      <c r="AM47" s="118"/>
    </row>
    <row r="48" spans="1:39" ht="12.75">
      <c r="B48" s="87" t="s">
        <v>885</v>
      </c>
      <c r="C48" s="177">
        <f>IF('Initial data collection sheet'!B26='Initial data collection sheet'!B399,'Initial data collection sheet'!B120+('Initial data collection sheet'!B124/2),0)</f>
        <v>0</v>
      </c>
      <c r="D48" s="87">
        <v>218</v>
      </c>
      <c r="E48" s="87">
        <v>218</v>
      </c>
      <c r="F48" s="87">
        <v>218</v>
      </c>
      <c r="G48" s="87">
        <v>222</v>
      </c>
      <c r="H48" s="87" t="e">
        <f t="shared" si="6"/>
        <v>#REF!</v>
      </c>
      <c r="I48" s="116" t="s">
        <v>873</v>
      </c>
      <c r="J48" s="176" t="e">
        <f t="shared" si="7"/>
        <v>#REF!</v>
      </c>
      <c r="K48" s="85" t="e">
        <f>IF(J48&gt;0,(J48*100/J68),0)</f>
        <v>#REF!</v>
      </c>
      <c r="L48" s="103"/>
      <c r="M48" s="162" t="s">
        <v>884</v>
      </c>
      <c r="N48" s="161" t="e">
        <f>K52</f>
        <v>#REF!</v>
      </c>
      <c r="P48" s="115"/>
      <c r="Q48" s="91">
        <v>5023</v>
      </c>
      <c r="R48" s="117" t="e">
        <f>IF(AND(R139=5020,R46="",R47=""),5023,"")</f>
        <v>#REF!</v>
      </c>
      <c r="S48" s="142" t="str">
        <f>IF(COUNT(R46:R48)=1,8,"")</f>
        <v/>
      </c>
      <c r="T48" s="103"/>
      <c r="U48" s="115" t="s">
        <v>883</v>
      </c>
      <c r="V48" s="91"/>
      <c r="W48" s="91"/>
      <c r="X48" s="119"/>
      <c r="AL48" s="118"/>
      <c r="AM48" s="118"/>
    </row>
    <row r="49" spans="2:39" ht="12.75">
      <c r="B49" s="87" t="s">
        <v>882</v>
      </c>
      <c r="C49" s="177">
        <f>IF('Initial data collection sheet'!B26='Initial data collection sheet'!B398,'Initial data collection sheet'!B120+('Initial data collection sheet'!B124/2),0)</f>
        <v>0</v>
      </c>
      <c r="D49" s="87">
        <v>206</v>
      </c>
      <c r="E49" s="87">
        <v>206</v>
      </c>
      <c r="F49" s="87">
        <v>206</v>
      </c>
      <c r="G49" s="87">
        <v>222</v>
      </c>
      <c r="H49" s="87" t="e">
        <f t="shared" si="6"/>
        <v>#REF!</v>
      </c>
      <c r="I49" s="116" t="s">
        <v>873</v>
      </c>
      <c r="J49" s="176" t="e">
        <f t="shared" si="7"/>
        <v>#REF!</v>
      </c>
      <c r="K49" s="85" t="e">
        <f>IF(J49&gt;0,(J49*100/J68),0)</f>
        <v>#REF!</v>
      </c>
      <c r="L49" s="103"/>
      <c r="M49" s="162" t="s">
        <v>870</v>
      </c>
      <c r="N49" s="161" t="e">
        <f>K53</f>
        <v>#REF!</v>
      </c>
      <c r="P49" s="125">
        <v>9</v>
      </c>
      <c r="Q49" s="96">
        <v>4110</v>
      </c>
      <c r="R49" s="151" t="e">
        <f>IF(AND(N51&gt;66.667,C11=1),4110,"")</f>
        <v>#REF!</v>
      </c>
      <c r="S49" s="124"/>
      <c r="T49" s="103"/>
      <c r="U49" s="120" t="s">
        <v>876</v>
      </c>
      <c r="X49" s="119"/>
      <c r="AL49" s="118"/>
      <c r="AM49" s="118"/>
    </row>
    <row r="50" spans="2:39" ht="12.75">
      <c r="B50" s="87" t="s">
        <v>881</v>
      </c>
      <c r="C50" s="177">
        <f>'Initial data collection sheet'!B115+'Initial data collection sheet'!B121+'Initial data collection sheet'!B122</f>
        <v>0</v>
      </c>
      <c r="D50" s="87">
        <v>141</v>
      </c>
      <c r="E50" s="87">
        <v>142</v>
      </c>
      <c r="F50" s="87">
        <v>139</v>
      </c>
      <c r="G50" s="87">
        <v>142</v>
      </c>
      <c r="H50" s="87" t="e">
        <f t="shared" si="6"/>
        <v>#REF!</v>
      </c>
      <c r="I50" s="116" t="s">
        <v>880</v>
      </c>
      <c r="J50" s="176" t="e">
        <f t="shared" si="7"/>
        <v>#REF!</v>
      </c>
      <c r="K50" s="85" t="e">
        <f>IF(J50&gt;0,(J50*100/J68),0)</f>
        <v>#REF!</v>
      </c>
      <c r="L50" s="103"/>
      <c r="M50" s="162" t="s">
        <v>867</v>
      </c>
      <c r="N50" s="161" t="e">
        <f>K54</f>
        <v>#REF!</v>
      </c>
      <c r="P50" s="115"/>
      <c r="Q50" s="91">
        <v>4120</v>
      </c>
      <c r="R50" s="117" t="e">
        <f>IF(AND(R132=4100,R49="",R51="",C11=1),4120,"")</f>
        <v>#REF!</v>
      </c>
      <c r="S50" s="142" t="str">
        <f>IF(COUNT(R49:R50)=1,9,"")</f>
        <v/>
      </c>
      <c r="T50" s="103"/>
      <c r="U50" s="115" t="s">
        <v>872</v>
      </c>
      <c r="V50" s="91"/>
      <c r="W50" s="91"/>
      <c r="X50" s="114"/>
      <c r="AL50" s="118"/>
      <c r="AM50" s="118"/>
    </row>
    <row r="51" spans="2:39" ht="12.75">
      <c r="B51" s="87" t="s">
        <v>879</v>
      </c>
      <c r="C51" s="177">
        <f>'Initial data collection sheet'!B123/2</f>
        <v>0</v>
      </c>
      <c r="D51" s="87">
        <v>166</v>
      </c>
      <c r="E51" s="87">
        <v>167</v>
      </c>
      <c r="F51" s="87">
        <v>168</v>
      </c>
      <c r="G51" s="87">
        <v>162</v>
      </c>
      <c r="H51" s="87" t="e">
        <f t="shared" si="6"/>
        <v>#REF!</v>
      </c>
      <c r="I51" s="116" t="s">
        <v>878</v>
      </c>
      <c r="J51" s="176" t="e">
        <f t="shared" si="7"/>
        <v>#REF!</v>
      </c>
      <c r="K51" s="85" t="e">
        <f>IF(J51&gt;0,(J51*100/J68),0)</f>
        <v>#REF!</v>
      </c>
      <c r="L51" s="103"/>
      <c r="M51" s="162" t="s">
        <v>877</v>
      </c>
      <c r="N51" s="161" t="e">
        <f>K47</f>
        <v>#REF!</v>
      </c>
      <c r="P51" s="125">
        <v>10</v>
      </c>
      <c r="Q51" s="96">
        <v>4110</v>
      </c>
      <c r="R51" s="151" t="e">
        <f>IF(AND(N51&gt;66.667,C11=0),4110,"")</f>
        <v>#REF!</v>
      </c>
      <c r="S51" s="124"/>
      <c r="T51" s="103"/>
      <c r="U51" s="120" t="s">
        <v>876</v>
      </c>
      <c r="X51" s="119"/>
      <c r="AL51" s="118"/>
      <c r="AM51" s="118"/>
    </row>
    <row r="52" spans="2:39" ht="12.75">
      <c r="B52" s="87" t="s">
        <v>875</v>
      </c>
      <c r="C52" s="177">
        <f>'Initial data collection sheet'!B123/2</f>
        <v>0</v>
      </c>
      <c r="D52" s="87">
        <v>117</v>
      </c>
      <c r="E52" s="87">
        <v>116</v>
      </c>
      <c r="F52" s="87">
        <v>116</v>
      </c>
      <c r="G52" s="87">
        <v>129</v>
      </c>
      <c r="H52" s="87" t="e">
        <f t="shared" si="6"/>
        <v>#REF!</v>
      </c>
      <c r="I52" s="116" t="s">
        <v>874</v>
      </c>
      <c r="J52" s="176" t="e">
        <f t="shared" si="7"/>
        <v>#REF!</v>
      </c>
      <c r="K52" s="85" t="e">
        <f>IF(J52&gt;0,(J52*100/J68),0)</f>
        <v>#REF!</v>
      </c>
      <c r="L52" s="103"/>
      <c r="M52" s="162" t="s">
        <v>873</v>
      </c>
      <c r="N52" s="161" t="e">
        <f>K48+K49</f>
        <v>#REF!</v>
      </c>
      <c r="P52" s="115"/>
      <c r="Q52" s="91">
        <v>4120</v>
      </c>
      <c r="R52" s="117" t="e">
        <f>IF(AND(R132=4100,R49="",R51="",C11=0),4120,"")</f>
        <v>#REF!</v>
      </c>
      <c r="S52" s="142" t="str">
        <f>IF(COUNT(R51:R52)=1,10,"")</f>
        <v/>
      </c>
      <c r="T52" s="103"/>
      <c r="U52" s="120" t="s">
        <v>872</v>
      </c>
      <c r="X52" s="119"/>
      <c r="AL52" s="118"/>
      <c r="AM52" s="118"/>
    </row>
    <row r="53" spans="2:39" ht="12.75">
      <c r="B53" s="87" t="s">
        <v>871</v>
      </c>
      <c r="C53" s="177">
        <f>'Initial data collection sheet'!B124/2+'Initial data collection sheet'!B125</f>
        <v>0</v>
      </c>
      <c r="D53" s="87">
        <v>96</v>
      </c>
      <c r="E53" s="87">
        <v>105</v>
      </c>
      <c r="F53" s="87">
        <v>106</v>
      </c>
      <c r="G53" s="87">
        <v>102</v>
      </c>
      <c r="H53" s="87" t="e">
        <f t="shared" si="6"/>
        <v>#REF!</v>
      </c>
      <c r="I53" s="116" t="s">
        <v>870</v>
      </c>
      <c r="J53" s="176" t="e">
        <f t="shared" si="7"/>
        <v>#REF!</v>
      </c>
      <c r="K53" s="85" t="e">
        <f>IF(J53&gt;0,(J53*100/J68),0)</f>
        <v>#REF!</v>
      </c>
      <c r="L53" s="103"/>
      <c r="M53" s="162" t="s">
        <v>869</v>
      </c>
      <c r="N53" s="161" t="e">
        <f>K55+K56+K57+K58</f>
        <v>#REF!</v>
      </c>
      <c r="P53" s="106">
        <v>11</v>
      </c>
      <c r="Q53" s="102">
        <v>4410</v>
      </c>
      <c r="R53" s="141" t="e">
        <f>IF(AND(N53&gt;66.667,C13=1),4410,"")</f>
        <v>#REF!</v>
      </c>
      <c r="S53" s="140" t="e">
        <f>IF(R53=4410,11,"")</f>
        <v>#REF!</v>
      </c>
      <c r="T53" s="103"/>
      <c r="U53" s="106" t="s">
        <v>814</v>
      </c>
      <c r="V53" s="102"/>
      <c r="W53" s="102"/>
      <c r="X53" s="128"/>
    </row>
    <row r="54" spans="2:39" ht="12.75">
      <c r="B54" s="87" t="s">
        <v>868</v>
      </c>
      <c r="C54" s="177">
        <f>'Initial data collection sheet'!B114</f>
        <v>0</v>
      </c>
      <c r="D54" s="87">
        <v>115</v>
      </c>
      <c r="E54" s="87">
        <v>119</v>
      </c>
      <c r="F54" s="87">
        <v>113</v>
      </c>
      <c r="G54" s="87">
        <v>128</v>
      </c>
      <c r="H54" s="87" t="e">
        <f t="shared" si="6"/>
        <v>#REF!</v>
      </c>
      <c r="I54" s="116" t="s">
        <v>867</v>
      </c>
      <c r="J54" s="176" t="e">
        <f t="shared" si="7"/>
        <v>#REF!</v>
      </c>
      <c r="K54" s="85" t="e">
        <f>IF(J54&gt;0,(J54*100/J68),0)</f>
        <v>#REF!</v>
      </c>
      <c r="L54" s="103"/>
      <c r="M54" s="162" t="s">
        <v>857</v>
      </c>
      <c r="N54" s="161" t="e">
        <f>K59</f>
        <v>#REF!</v>
      </c>
      <c r="P54" s="125">
        <v>12</v>
      </c>
      <c r="Q54" s="96">
        <v>4210</v>
      </c>
      <c r="R54" s="151" t="e">
        <f>IF(AND(N22&gt;66.667,N51&lt;=0.2,N52&gt;33.333,C13=1),4210,"")</f>
        <v>#REF!</v>
      </c>
      <c r="S54" s="124"/>
      <c r="T54" s="103"/>
      <c r="U54" s="120" t="s">
        <v>866</v>
      </c>
      <c r="X54" s="119"/>
    </row>
    <row r="55" spans="2:39" ht="12.75">
      <c r="B55" s="87" t="s">
        <v>865</v>
      </c>
      <c r="C55" s="177">
        <f>IF('Initial data collection sheet'!B26='Initial data collection sheet'!B399,'Initial data collection sheet'!B126,0)</f>
        <v>0</v>
      </c>
      <c r="D55" s="87">
        <v>50</v>
      </c>
      <c r="E55" s="87">
        <v>47</v>
      </c>
      <c r="F55" s="87">
        <v>46</v>
      </c>
      <c r="G55" s="87">
        <v>46</v>
      </c>
      <c r="H55" s="87" t="e">
        <f t="shared" si="6"/>
        <v>#REF!</v>
      </c>
      <c r="I55" s="116" t="s">
        <v>862</v>
      </c>
      <c r="J55" s="149" t="e">
        <f t="shared" si="7"/>
        <v>#REF!</v>
      </c>
      <c r="K55" s="85" t="e">
        <f>IF(J55&gt;0,(J55*100/J68),0)</f>
        <v>#REF!</v>
      </c>
      <c r="L55" s="103"/>
      <c r="M55" s="162" t="s">
        <v>853</v>
      </c>
      <c r="N55" s="161" t="e">
        <f>K61</f>
        <v>#REF!</v>
      </c>
      <c r="P55" s="115"/>
      <c r="Q55" s="91">
        <v>4220</v>
      </c>
      <c r="R55" s="117" t="e">
        <f>IF(AND(N22&gt;66.667,N51&lt;=0.2,N52&lt;=33.333,C13=1),4220,"")</f>
        <v>#REF!</v>
      </c>
      <c r="S55" s="142" t="str">
        <f>IF(COUNT(R54:R55)=1,12,"")</f>
        <v/>
      </c>
      <c r="T55" s="103"/>
      <c r="U55" s="115" t="s">
        <v>864</v>
      </c>
      <c r="V55" s="91"/>
      <c r="W55" s="91"/>
      <c r="X55" s="114"/>
    </row>
    <row r="56" spans="2:39" ht="12.75">
      <c r="B56" s="87" t="s">
        <v>863</v>
      </c>
      <c r="C56" s="177">
        <f>IF('Initial data collection sheet'!B26='Initial data collection sheet'!B398,'Initial data collection sheet'!B126,0)</f>
        <v>0</v>
      </c>
      <c r="D56" s="87">
        <v>39</v>
      </c>
      <c r="E56" s="87">
        <v>40</v>
      </c>
      <c r="F56" s="87">
        <v>41</v>
      </c>
      <c r="G56" s="87">
        <v>41</v>
      </c>
      <c r="H56" s="87" t="e">
        <f t="shared" si="6"/>
        <v>#REF!</v>
      </c>
      <c r="I56" s="116" t="s">
        <v>862</v>
      </c>
      <c r="J56" s="149" t="e">
        <f t="shared" si="7"/>
        <v>#REF!</v>
      </c>
      <c r="K56" s="85" t="e">
        <f>IF(J56&gt;0,(J56*100/J68),0)</f>
        <v>#REF!</v>
      </c>
      <c r="L56" s="103"/>
      <c r="M56" s="162" t="s">
        <v>855</v>
      </c>
      <c r="N56" s="161" t="e">
        <f>K60</f>
        <v>#REF!</v>
      </c>
      <c r="P56" s="125">
        <v>13</v>
      </c>
      <c r="Q56" s="96">
        <v>4310</v>
      </c>
      <c r="R56" s="151" t="e">
        <f>IF(AND(N22&gt;66.667,N51&gt;0.25,R132="",C13=1),4310,"")</f>
        <v>#REF!</v>
      </c>
      <c r="S56" s="124"/>
      <c r="T56" s="103"/>
      <c r="U56" s="120" t="s">
        <v>820</v>
      </c>
      <c r="X56" s="119"/>
    </row>
    <row r="57" spans="2:39" ht="12.75">
      <c r="B57" s="87" t="s">
        <v>861</v>
      </c>
      <c r="C57" s="177">
        <f>IF('Initial data collection sheet'!B26='Initial data collection sheet'!B398,'Initial data collection sheet'!B127+'Initial data collection sheet'!B128+'Initial data collection sheet'!B129,0)</f>
        <v>0</v>
      </c>
      <c r="D57" s="87">
        <v>4</v>
      </c>
      <c r="E57" s="87">
        <v>4</v>
      </c>
      <c r="F57" s="87">
        <v>3</v>
      </c>
      <c r="G57" s="87">
        <v>2</v>
      </c>
      <c r="H57" s="87" t="e">
        <f t="shared" si="6"/>
        <v>#REF!</v>
      </c>
      <c r="I57" s="116" t="s">
        <v>859</v>
      </c>
      <c r="J57" s="149" t="e">
        <f>H57*C57*K96</f>
        <v>#REF!</v>
      </c>
      <c r="K57" s="85" t="e">
        <f>IF(J57&gt;0,(J57*100/J68),0)</f>
        <v>#REF!</v>
      </c>
      <c r="L57" s="103"/>
      <c r="M57" s="162" t="s">
        <v>851</v>
      </c>
      <c r="N57" s="161" t="e">
        <f>K62</f>
        <v>#REF!</v>
      </c>
      <c r="P57" s="120"/>
      <c r="Q57" s="84">
        <v>4320</v>
      </c>
      <c r="R57" s="122" t="e">
        <f>IF(AND(N22&gt;66.667,N51&gt;0.2,N51&lt;=0.25,C13=1),4320,"")</f>
        <v>#REF!</v>
      </c>
      <c r="S57" s="121"/>
      <c r="T57" s="103"/>
      <c r="U57" s="120" t="s">
        <v>817</v>
      </c>
      <c r="X57" s="119"/>
    </row>
    <row r="58" spans="2:39" ht="12.75">
      <c r="B58" s="87" t="s">
        <v>860</v>
      </c>
      <c r="C58" s="177">
        <f>IF('Initial data collection sheet'!B26='Initial data collection sheet'!B399,'Initial data collection sheet'!B127+'Initial data collection sheet'!B128+'Initial data collection sheet'!B129,0)</f>
        <v>0</v>
      </c>
      <c r="D58" s="87">
        <v>8</v>
      </c>
      <c r="E58" s="87">
        <v>8</v>
      </c>
      <c r="F58" s="87">
        <v>8</v>
      </c>
      <c r="G58" s="87">
        <v>8</v>
      </c>
      <c r="H58" s="87" t="e">
        <f t="shared" si="6"/>
        <v>#REF!</v>
      </c>
      <c r="I58" s="116" t="s">
        <v>859</v>
      </c>
      <c r="J58" s="176" t="e">
        <f>H58*C58*K97</f>
        <v>#REF!</v>
      </c>
      <c r="K58" s="85" t="e">
        <f>IF(J58&gt;0,(J58*100/J68),0)</f>
        <v>#REF!</v>
      </c>
      <c r="L58" s="103"/>
      <c r="M58" s="162" t="s">
        <v>845</v>
      </c>
      <c r="N58" s="161" t="e">
        <f>K64</f>
        <v>#REF!</v>
      </c>
      <c r="P58" s="120"/>
      <c r="Q58" s="84">
        <v>4420</v>
      </c>
      <c r="R58" s="122" t="e">
        <f>IF(AND(N22&gt;33.333,N53&gt;33.333,C13=1),4420,"")</f>
        <v>#REF!</v>
      </c>
      <c r="S58" s="121"/>
      <c r="T58" s="103"/>
      <c r="U58" s="120" t="s">
        <v>813</v>
      </c>
      <c r="X58" s="119"/>
    </row>
    <row r="59" spans="2:39" ht="12.75">
      <c r="B59" s="87" t="s">
        <v>858</v>
      </c>
      <c r="C59" s="177"/>
      <c r="D59" s="87">
        <v>115</v>
      </c>
      <c r="E59" s="87">
        <v>115</v>
      </c>
      <c r="F59" s="87">
        <v>115</v>
      </c>
      <c r="G59" s="87">
        <v>115</v>
      </c>
      <c r="H59" s="87" t="e">
        <f t="shared" si="6"/>
        <v>#REF!</v>
      </c>
      <c r="I59" s="116" t="s">
        <v>857</v>
      </c>
      <c r="J59" s="176" t="e">
        <f>H59*C59</f>
        <v>#REF!</v>
      </c>
      <c r="K59" s="85" t="e">
        <f>IF(J59&gt;0,(J59*100/J68),0)</f>
        <v>#REF!</v>
      </c>
      <c r="L59" s="103"/>
      <c r="M59" s="162" t="s">
        <v>848</v>
      </c>
      <c r="N59" s="161" t="e">
        <f>K63</f>
        <v>#REF!</v>
      </c>
      <c r="P59" s="120"/>
      <c r="Q59" s="84">
        <v>4430</v>
      </c>
      <c r="R59" s="122" t="e">
        <f>IF(AND(N54&gt;66.667,C13=1),4430,"")</f>
        <v>#REF!</v>
      </c>
      <c r="S59" s="121"/>
      <c r="U59" s="106" t="s">
        <v>812</v>
      </c>
      <c r="V59" s="102"/>
      <c r="W59" s="102"/>
      <c r="X59" s="119"/>
    </row>
    <row r="60" spans="2:39" ht="12.75">
      <c r="B60" s="87" t="s">
        <v>856</v>
      </c>
      <c r="C60" s="177">
        <f>'Initial data collection sheet'!B130+'Initial data collection sheet'!B135</f>
        <v>0</v>
      </c>
      <c r="D60" s="87">
        <v>408</v>
      </c>
      <c r="E60" s="87">
        <v>414</v>
      </c>
      <c r="F60" s="87">
        <v>412</v>
      </c>
      <c r="G60" s="87">
        <v>412</v>
      </c>
      <c r="H60" s="87" t="e">
        <f t="shared" si="6"/>
        <v>#REF!</v>
      </c>
      <c r="I60" s="116" t="s">
        <v>855</v>
      </c>
      <c r="J60" s="176" t="e">
        <f>H60*C60</f>
        <v>#REF!</v>
      </c>
      <c r="K60" s="85" t="e">
        <f>IF(J60&gt;0,(J60*100/J68),0)</f>
        <v>#REF!</v>
      </c>
      <c r="L60" s="103"/>
      <c r="M60" s="162" t="s">
        <v>842</v>
      </c>
      <c r="N60" s="161" t="e">
        <f>K65</f>
        <v>#REF!</v>
      </c>
      <c r="P60" s="120"/>
      <c r="Q60" s="84">
        <v>4443</v>
      </c>
      <c r="R60" s="122" t="e">
        <f>IF(AND(N61&gt;66.667,C14=1),4443,"")</f>
        <v>#REF!</v>
      </c>
      <c r="S60" s="121"/>
      <c r="U60" s="106" t="s">
        <v>811</v>
      </c>
      <c r="V60" s="102"/>
      <c r="W60" s="102"/>
      <c r="X60" s="119"/>
    </row>
    <row r="61" spans="2:39" ht="12.75">
      <c r="B61" s="87" t="s">
        <v>854</v>
      </c>
      <c r="C61" s="177">
        <f>'Initial data collection sheet'!B131+'Initial data collection sheet'!B132</f>
        <v>0</v>
      </c>
      <c r="D61" s="87">
        <v>2</v>
      </c>
      <c r="E61" s="87">
        <v>2</v>
      </c>
      <c r="F61" s="87">
        <v>2</v>
      </c>
      <c r="G61" s="87">
        <v>2</v>
      </c>
      <c r="H61" s="87" t="e">
        <f t="shared" si="6"/>
        <v>#REF!</v>
      </c>
      <c r="I61" s="116" t="s">
        <v>853</v>
      </c>
      <c r="J61" s="176" t="e">
        <f>IF(J60=0,(H61*C61),0)</f>
        <v>#REF!</v>
      </c>
      <c r="K61" s="85" t="e">
        <f>IF(J61&gt;0,(J61*100/J68),0)</f>
        <v>#REF!</v>
      </c>
      <c r="L61" s="103"/>
      <c r="M61" s="162" t="s">
        <v>837</v>
      </c>
      <c r="N61" s="161" t="e">
        <f>K67</f>
        <v>#REF!</v>
      </c>
      <c r="P61" s="115"/>
      <c r="Q61" s="91">
        <v>4444</v>
      </c>
      <c r="R61" s="117" t="e">
        <f>IF(AND(R136=4440,R102="",R97="",R60="",C13=1),4444,"")</f>
        <v>#REF!</v>
      </c>
      <c r="S61" s="142" t="str">
        <f>IF(COUNT(R56:R61)=1,13,"")</f>
        <v/>
      </c>
      <c r="T61" s="103"/>
      <c r="U61" s="115" t="s">
        <v>810</v>
      </c>
      <c r="V61" s="91"/>
      <c r="W61" s="91"/>
      <c r="X61" s="114"/>
    </row>
    <row r="62" spans="2:39" ht="12.75">
      <c r="B62" s="87" t="s">
        <v>852</v>
      </c>
      <c r="C62" s="177">
        <f>'Initial data collection sheet'!B133+'Initial data collection sheet'!B134+'Initial data collection sheet'!B136</f>
        <v>0</v>
      </c>
      <c r="D62" s="87">
        <v>20</v>
      </c>
      <c r="E62" s="87">
        <v>20</v>
      </c>
      <c r="F62" s="87">
        <v>20</v>
      </c>
      <c r="G62" s="87">
        <v>20</v>
      </c>
      <c r="H62" s="87" t="e">
        <f t="shared" si="6"/>
        <v>#REF!</v>
      </c>
      <c r="I62" s="116" t="s">
        <v>851</v>
      </c>
      <c r="J62" s="176" t="e">
        <f t="shared" ref="J62:J67" si="8">H62*C62</f>
        <v>#REF!</v>
      </c>
      <c r="K62" s="85" t="e">
        <f>IF(J62&gt;0,(J62*100/J68),0)</f>
        <v>#REF!</v>
      </c>
      <c r="L62" s="103"/>
      <c r="M62" s="162" t="s">
        <v>850</v>
      </c>
      <c r="N62" s="161">
        <v>0</v>
      </c>
      <c r="P62" s="125">
        <v>14</v>
      </c>
      <c r="Q62" s="96">
        <v>4210</v>
      </c>
      <c r="R62" s="151" t="e">
        <f>IF(AND(N22&gt;66.667,N51&lt;=0.2,N52&gt;33.333,C12=1),4210,"")</f>
        <v>#REF!</v>
      </c>
      <c r="S62" s="124"/>
      <c r="T62" s="103"/>
      <c r="U62" s="120" t="s">
        <v>827</v>
      </c>
      <c r="X62" s="119"/>
    </row>
    <row r="63" spans="2:39" ht="12.75">
      <c r="B63" s="87" t="s">
        <v>849</v>
      </c>
      <c r="C63" s="177">
        <f>'Initial data collection sheet'!B138</f>
        <v>0</v>
      </c>
      <c r="D63" s="87">
        <v>5.09</v>
      </c>
      <c r="E63" s="87">
        <v>4.9000000000000004</v>
      </c>
      <c r="F63" s="87">
        <v>4.3099999999999996</v>
      </c>
      <c r="G63" s="87">
        <v>4.3099999999999996</v>
      </c>
      <c r="H63" s="87" t="e">
        <f t="shared" si="6"/>
        <v>#REF!</v>
      </c>
      <c r="I63" s="116" t="s">
        <v>848</v>
      </c>
      <c r="J63" s="176" t="e">
        <f t="shared" si="8"/>
        <v>#REF!</v>
      </c>
      <c r="K63" s="85" t="e">
        <f>IF(J63&gt;0,(J63*100/J68),0)</f>
        <v>#REF!</v>
      </c>
      <c r="L63" s="103"/>
      <c r="M63" s="162" t="s">
        <v>847</v>
      </c>
      <c r="N63" s="161">
        <v>0</v>
      </c>
      <c r="P63" s="120"/>
      <c r="Q63" s="84">
        <v>4220</v>
      </c>
      <c r="R63" s="122" t="e">
        <f>IF(AND(N22&gt;66.667,N51&lt;=0.2,N52&lt;=33.333,C12=1),4220,"")</f>
        <v>#REF!</v>
      </c>
      <c r="S63" s="121"/>
      <c r="U63" s="120" t="s">
        <v>823</v>
      </c>
      <c r="X63" s="119"/>
    </row>
    <row r="64" spans="2:39" ht="12.75">
      <c r="B64" s="87" t="s">
        <v>846</v>
      </c>
      <c r="C64" s="175">
        <f>'Initial data collection sheet'!B139</f>
        <v>0</v>
      </c>
      <c r="D64" s="87">
        <v>2.1</v>
      </c>
      <c r="E64" s="87">
        <v>2.1</v>
      </c>
      <c r="F64" s="87">
        <v>2.1</v>
      </c>
      <c r="G64" s="87">
        <v>2.1</v>
      </c>
      <c r="H64" s="87" t="e">
        <f t="shared" si="6"/>
        <v>#REF!</v>
      </c>
      <c r="I64" s="116" t="s">
        <v>845</v>
      </c>
      <c r="J64" s="176" t="e">
        <f t="shared" si="8"/>
        <v>#REF!</v>
      </c>
      <c r="K64" s="85" t="e">
        <f>IF(J64&gt;0,(J64*100/J68),0)</f>
        <v>#REF!</v>
      </c>
      <c r="L64" s="103"/>
      <c r="M64" s="162" t="s">
        <v>844</v>
      </c>
      <c r="N64" s="161">
        <v>0</v>
      </c>
      <c r="P64" s="120"/>
      <c r="Q64" s="84">
        <v>4310</v>
      </c>
      <c r="R64" s="122" t="e">
        <f>IF(AND(N22&gt;66.667,N51&gt;0.25,R132="",C12=1),4310,"")</f>
        <v>#REF!</v>
      </c>
      <c r="S64" s="121"/>
      <c r="U64" s="120" t="s">
        <v>820</v>
      </c>
      <c r="X64" s="119"/>
    </row>
    <row r="65" spans="2:24" ht="12.75">
      <c r="B65" s="87" t="s">
        <v>843</v>
      </c>
      <c r="C65" s="177">
        <f>'Initial data collection sheet'!B140+'Initial data collection sheet'!B141+'Initial data collection sheet'!B142+'Initial data collection sheet'!B137</f>
        <v>0</v>
      </c>
      <c r="D65" s="87">
        <v>17.059999999999999</v>
      </c>
      <c r="E65" s="87">
        <v>19.38</v>
      </c>
      <c r="F65" s="87">
        <v>14.97</v>
      </c>
      <c r="G65" s="87">
        <v>14.97</v>
      </c>
      <c r="H65" s="87" t="e">
        <f t="shared" si="6"/>
        <v>#REF!</v>
      </c>
      <c r="I65" s="116" t="s">
        <v>842</v>
      </c>
      <c r="J65" s="176" t="e">
        <f t="shared" si="8"/>
        <v>#REF!</v>
      </c>
      <c r="K65" s="85" t="e">
        <f>IF(J65&gt;0,(J65*100/J68),0)</f>
        <v>#REF!</v>
      </c>
      <c r="L65" s="103"/>
      <c r="M65" s="162" t="s">
        <v>841</v>
      </c>
      <c r="N65" s="161">
        <v>0</v>
      </c>
      <c r="P65" s="120"/>
      <c r="Q65" s="84">
        <v>4320</v>
      </c>
      <c r="R65" s="122" t="e">
        <f>IF(AND(N22&gt;66.667,N51&gt;0.2,N51&lt;=0.25,C12=1),4320,"")</f>
        <v>#REF!</v>
      </c>
      <c r="S65" s="121"/>
      <c r="U65" s="120" t="s">
        <v>817</v>
      </c>
      <c r="X65" s="119"/>
    </row>
    <row r="66" spans="2:24" ht="12.75">
      <c r="B66" s="90" t="s">
        <v>65</v>
      </c>
      <c r="C66" s="240"/>
      <c r="D66" s="87">
        <v>340</v>
      </c>
      <c r="E66" s="87">
        <v>340</v>
      </c>
      <c r="F66" s="87">
        <v>340</v>
      </c>
      <c r="G66" s="87">
        <v>340</v>
      </c>
      <c r="H66" s="87" t="e">
        <f t="shared" si="6"/>
        <v>#REF!</v>
      </c>
      <c r="I66" s="174" t="s">
        <v>840</v>
      </c>
      <c r="J66" s="173" t="e">
        <f t="shared" si="8"/>
        <v>#REF!</v>
      </c>
      <c r="K66" s="85" t="e">
        <f>IF(J66&gt;0,(J66*100/J68),0)</f>
        <v>#REF!</v>
      </c>
      <c r="L66" s="103"/>
      <c r="M66" s="162" t="s">
        <v>839</v>
      </c>
      <c r="N66" s="161">
        <v>0</v>
      </c>
      <c r="P66" s="120"/>
      <c r="Q66" s="84">
        <v>4410</v>
      </c>
      <c r="R66" s="122" t="e">
        <f>IF(AND(N53&gt;66.667,C12=1),4410,"")</f>
        <v>#REF!</v>
      </c>
      <c r="S66" s="121"/>
      <c r="U66" s="120" t="s">
        <v>814</v>
      </c>
      <c r="X66" s="119"/>
    </row>
    <row r="67" spans="2:24" ht="12.75">
      <c r="B67" s="87" t="s">
        <v>838</v>
      </c>
      <c r="C67" s="175"/>
      <c r="D67" s="87">
        <v>77</v>
      </c>
      <c r="E67" s="87">
        <v>77</v>
      </c>
      <c r="F67" s="87">
        <v>77</v>
      </c>
      <c r="G67" s="87">
        <v>77</v>
      </c>
      <c r="H67" s="87" t="e">
        <f t="shared" si="6"/>
        <v>#REF!</v>
      </c>
      <c r="I67" s="174" t="s">
        <v>837</v>
      </c>
      <c r="J67" s="173" t="e">
        <f t="shared" si="8"/>
        <v>#REF!</v>
      </c>
      <c r="K67" s="85" t="e">
        <f>IF(J67&gt;0,(J67*100/J68),0)</f>
        <v>#REF!</v>
      </c>
      <c r="M67" s="162" t="s">
        <v>836</v>
      </c>
      <c r="N67" s="161">
        <v>0</v>
      </c>
      <c r="P67" s="120"/>
      <c r="Q67" s="84">
        <v>4420</v>
      </c>
      <c r="R67" s="122" t="e">
        <f>IF(AND(N22&gt;33.333,N53&gt;33.333,C12=1),4420,"")</f>
        <v>#REF!</v>
      </c>
      <c r="S67" s="121"/>
      <c r="U67" s="120" t="s">
        <v>813</v>
      </c>
      <c r="X67" s="119"/>
    </row>
    <row r="68" spans="2:24" ht="12.75">
      <c r="E68" s="172"/>
      <c r="F68" s="172"/>
      <c r="J68" s="86" t="e">
        <f>+SUM(J15:J67)</f>
        <v>#REF!</v>
      </c>
      <c r="K68" s="87" t="e">
        <f>+SUM(K15:K67)</f>
        <v>#REF!</v>
      </c>
      <c r="M68" s="162" t="s">
        <v>835</v>
      </c>
      <c r="N68" s="161">
        <v>0</v>
      </c>
      <c r="P68" s="120"/>
      <c r="Q68" s="84">
        <v>4430</v>
      </c>
      <c r="R68" s="122" t="e">
        <f>IF(AND(N54&gt;66.667,C12=1),4430,"")</f>
        <v>#REF!</v>
      </c>
      <c r="S68" s="121"/>
      <c r="U68" s="106" t="s">
        <v>812</v>
      </c>
      <c r="V68" s="102"/>
      <c r="W68" s="102"/>
      <c r="X68" s="119"/>
    </row>
    <row r="69" spans="2:24" ht="12.75">
      <c r="M69" s="162" t="s">
        <v>834</v>
      </c>
      <c r="N69" s="161">
        <v>0</v>
      </c>
      <c r="P69" s="120"/>
      <c r="Q69" s="84">
        <v>4443</v>
      </c>
      <c r="R69" s="122" t="e">
        <f>IF(AND(N61&gt;66.667,C12=1),4443,"")</f>
        <v>#REF!</v>
      </c>
      <c r="S69" s="121"/>
      <c r="U69" s="106" t="s">
        <v>811</v>
      </c>
      <c r="V69" s="102"/>
      <c r="W69" s="102"/>
      <c r="X69" s="119"/>
    </row>
    <row r="70" spans="2:24" ht="12.75">
      <c r="B70" s="171" t="s">
        <v>833</v>
      </c>
      <c r="C70" s="170"/>
      <c r="D70" s="169"/>
      <c r="E70" s="96"/>
      <c r="F70" s="168" t="s">
        <v>832</v>
      </c>
      <c r="G70" s="128"/>
      <c r="H70" s="124"/>
      <c r="M70" s="162" t="s">
        <v>831</v>
      </c>
      <c r="N70" s="161">
        <v>0</v>
      </c>
      <c r="P70" s="115"/>
      <c r="Q70" s="91">
        <v>4444</v>
      </c>
      <c r="R70" s="117" t="e">
        <f>IF(AND(R136=4440,R102="",R97="",R69="",C12=1),4444,"")</f>
        <v>#REF!</v>
      </c>
      <c r="S70" s="142" t="str">
        <f>IF(COUNT(R62:R70)=1,14,"")</f>
        <v/>
      </c>
      <c r="U70" s="115" t="s">
        <v>810</v>
      </c>
      <c r="V70" s="91"/>
      <c r="W70" s="91"/>
      <c r="X70" s="114"/>
    </row>
    <row r="71" spans="2:24" ht="12.75">
      <c r="B71" s="166" t="s">
        <v>830</v>
      </c>
      <c r="C71" s="167">
        <f>'[8]Section A'!$H$4</f>
        <v>421</v>
      </c>
      <c r="D71" s="164"/>
      <c r="E71" s="163"/>
      <c r="F71" s="159">
        <v>3</v>
      </c>
      <c r="G71" s="148">
        <f>ROUND('[8]Section E1'!$Z12,1)</f>
        <v>0</v>
      </c>
      <c r="H71" s="128" t="s">
        <v>829</v>
      </c>
      <c r="M71" s="162" t="s">
        <v>828</v>
      </c>
      <c r="N71" s="161">
        <v>0</v>
      </c>
      <c r="P71" s="125">
        <v>15</v>
      </c>
      <c r="Q71" s="96">
        <v>4210</v>
      </c>
      <c r="R71" s="151" t="e">
        <f>IF(AND(N22&gt;66.667,N51&lt;=0.2,N52&gt;33.333,C11=0),4210,"")</f>
        <v>#REF!</v>
      </c>
      <c r="S71" s="124"/>
      <c r="U71" s="120" t="s">
        <v>827</v>
      </c>
      <c r="X71" s="119"/>
    </row>
    <row r="72" spans="2:24" ht="12.75">
      <c r="B72" s="166" t="s">
        <v>826</v>
      </c>
      <c r="C72" s="165">
        <f>'[8]Section A'!$H$7</f>
        <v>0</v>
      </c>
      <c r="D72" s="164"/>
      <c r="E72" s="163"/>
      <c r="F72" s="159">
        <v>4</v>
      </c>
      <c r="G72" s="148">
        <f>ROUND('[8]Section E1'!$Z13,1)</f>
        <v>0</v>
      </c>
      <c r="H72" s="124" t="s">
        <v>825</v>
      </c>
      <c r="M72" s="162" t="s">
        <v>824</v>
      </c>
      <c r="N72" s="161">
        <v>0</v>
      </c>
      <c r="P72" s="120"/>
      <c r="Q72" s="84">
        <v>4220</v>
      </c>
      <c r="R72" s="122" t="e">
        <f>IF(AND(N22&gt;66.667,N51&lt;=0.2,N52&lt;=33.333,C11=0),4220,"")</f>
        <v>#REF!</v>
      </c>
      <c r="S72" s="121"/>
      <c r="U72" s="120" t="s">
        <v>823</v>
      </c>
      <c r="X72" s="119"/>
    </row>
    <row r="73" spans="2:24" ht="12.75">
      <c r="B73" s="166" t="s">
        <v>822</v>
      </c>
      <c r="C73" s="165">
        <f>IF('Initial data collection sheet'!B26='Initial data collection sheet'!B398,2,IF('Initial data collection sheet'!B26='Initial data collection sheet'!B399,1))</f>
        <v>1</v>
      </c>
      <c r="D73" s="164"/>
      <c r="E73" s="163"/>
      <c r="F73" s="159">
        <v>10</v>
      </c>
      <c r="G73" s="148">
        <f>ROUND('[8]Section E1'!$Z22,1)</f>
        <v>0</v>
      </c>
      <c r="H73" s="119"/>
      <c r="M73" s="162" t="s">
        <v>821</v>
      </c>
      <c r="N73" s="161">
        <v>0</v>
      </c>
      <c r="P73" s="120"/>
      <c r="Q73" s="84">
        <v>4310</v>
      </c>
      <c r="R73" s="122" t="e">
        <f>IF(AND(N22&gt;66.667,N51&gt;0.25,R132="",C11=0),4310,"")</f>
        <v>#REF!</v>
      </c>
      <c r="S73" s="121"/>
      <c r="U73" s="120" t="s">
        <v>820</v>
      </c>
      <c r="X73" s="119"/>
    </row>
    <row r="74" spans="2:24" ht="12.75">
      <c r="B74" s="106" t="s">
        <v>819</v>
      </c>
      <c r="C74" s="102"/>
      <c r="D74" s="102"/>
      <c r="E74" s="128"/>
      <c r="F74" s="159">
        <v>74</v>
      </c>
      <c r="G74" s="148">
        <f>ROUND('[8]Section E1'!$Z23,1)</f>
        <v>0</v>
      </c>
      <c r="H74" s="119"/>
      <c r="M74" s="162" t="s">
        <v>818</v>
      </c>
      <c r="N74" s="161">
        <v>0</v>
      </c>
      <c r="P74" s="120"/>
      <c r="Q74" s="84">
        <v>4320</v>
      </c>
      <c r="R74" s="122" t="e">
        <f>IF(AND(N22&gt;66.667,N51&gt;0.2,N51&lt;=0.25,C11=0),4320,"")</f>
        <v>#REF!</v>
      </c>
      <c r="S74" s="121"/>
      <c r="U74" s="120" t="s">
        <v>817</v>
      </c>
      <c r="X74" s="119"/>
    </row>
    <row r="75" spans="2:24" ht="12.75">
      <c r="B75" s="160" t="s">
        <v>816</v>
      </c>
      <c r="C75" s="87" t="s">
        <v>765</v>
      </c>
      <c r="D75" s="91">
        <v>6</v>
      </c>
      <c r="E75" s="87">
        <v>7</v>
      </c>
      <c r="F75" s="159">
        <v>12</v>
      </c>
      <c r="G75" s="148">
        <f>ROUND('[8]Section E1'!$Z24,1)</f>
        <v>0</v>
      </c>
      <c r="H75" s="119"/>
      <c r="M75" s="99" t="s">
        <v>815</v>
      </c>
      <c r="N75" s="97">
        <v>0</v>
      </c>
      <c r="P75" s="120"/>
      <c r="Q75" s="84">
        <v>4410</v>
      </c>
      <c r="R75" s="122" t="e">
        <f>IF(AND(N53&gt;66.667,C11=0),4410,"")</f>
        <v>#REF!</v>
      </c>
      <c r="S75" s="121"/>
      <c r="U75" s="120" t="s">
        <v>814</v>
      </c>
      <c r="X75" s="119"/>
    </row>
    <row r="76" spans="2:24" ht="12.75">
      <c r="B76" s="115">
        <f t="array" ref="B76:C98">'[8]Section C2'!$E$9:$F$31</f>
        <v>0</v>
      </c>
      <c r="C76" s="87">
        <v>0</v>
      </c>
      <c r="D76" s="92">
        <f t="array" ref="D76:E98">'[8]Section C2'!$I$9:$J$31</f>
        <v>0</v>
      </c>
      <c r="E76" s="85">
        <v>0</v>
      </c>
      <c r="F76" s="159">
        <v>13</v>
      </c>
      <c r="G76" s="148">
        <f>ROUND('[8]Section E1'!$Z25,1)</f>
        <v>0</v>
      </c>
      <c r="H76" s="152"/>
      <c r="I76" s="154"/>
      <c r="J76" s="154"/>
      <c r="P76" s="120"/>
      <c r="Q76" s="84">
        <v>4420</v>
      </c>
      <c r="R76" s="122" t="e">
        <f>IF(AND(N22&gt;33.333,N53&gt;33.333,C11=0),4420,"")</f>
        <v>#REF!</v>
      </c>
      <c r="S76" s="121"/>
      <c r="U76" s="120" t="s">
        <v>813</v>
      </c>
      <c r="X76" s="119"/>
    </row>
    <row r="77" spans="2:24" ht="12.75">
      <c r="B77" s="99">
        <v>0</v>
      </c>
      <c r="C77" s="99">
        <v>0</v>
      </c>
      <c r="D77" s="92">
        <v>0</v>
      </c>
      <c r="E77" s="97">
        <v>0</v>
      </c>
      <c r="F77" s="159">
        <v>14</v>
      </c>
      <c r="G77" s="148">
        <f>ROUND('[8]Section E1'!$Z26,1)</f>
        <v>0</v>
      </c>
      <c r="H77" s="152"/>
      <c r="I77" s="154"/>
      <c r="J77" s="154"/>
      <c r="P77" s="120"/>
      <c r="Q77" s="84">
        <v>4430</v>
      </c>
      <c r="R77" s="122" t="e">
        <f>IF(AND(N54&gt;66.667,C11=0),4430,"")</f>
        <v>#REF!</v>
      </c>
      <c r="S77" s="121"/>
      <c r="U77" s="106" t="s">
        <v>812</v>
      </c>
      <c r="V77" s="102"/>
      <c r="W77" s="102"/>
      <c r="X77" s="119"/>
    </row>
    <row r="78" spans="2:24" ht="12.75">
      <c r="B78" s="99">
        <v>0</v>
      </c>
      <c r="C78" s="99">
        <v>0</v>
      </c>
      <c r="D78" s="92">
        <v>0</v>
      </c>
      <c r="E78" s="85">
        <v>0</v>
      </c>
      <c r="F78" s="159"/>
      <c r="G78" s="148"/>
      <c r="H78" s="152"/>
      <c r="I78" s="154"/>
      <c r="J78" s="154"/>
      <c r="P78" s="120"/>
      <c r="Q78" s="84">
        <v>4443</v>
      </c>
      <c r="R78" s="122" t="e">
        <f>IF(AND(N61&gt;66.667,C11=0),4443,"")</f>
        <v>#REF!</v>
      </c>
      <c r="S78" s="121"/>
      <c r="U78" s="106" t="s">
        <v>811</v>
      </c>
      <c r="V78" s="102"/>
      <c r="W78" s="102"/>
      <c r="X78" s="119"/>
    </row>
    <row r="79" spans="2:24" ht="12.75">
      <c r="B79" s="99">
        <v>0</v>
      </c>
      <c r="C79" s="99">
        <v>0</v>
      </c>
      <c r="D79" s="92">
        <v>0</v>
      </c>
      <c r="E79" s="85">
        <v>0</v>
      </c>
      <c r="F79" s="159">
        <v>16</v>
      </c>
      <c r="G79" s="148">
        <f>ROUND('[8]Section E1'!$Z28,1)</f>
        <v>0</v>
      </c>
      <c r="H79" s="152"/>
      <c r="I79" s="154"/>
      <c r="J79" s="154"/>
      <c r="P79" s="115"/>
      <c r="Q79" s="91">
        <v>4444</v>
      </c>
      <c r="R79" s="117" t="e">
        <f>IF(AND(R136=4440,R102="",R97="",R78="",C11=0),4444,"")</f>
        <v>#REF!</v>
      </c>
      <c r="S79" s="142" t="str">
        <f>IF(COUNT(R71:R79)=1,15,"")</f>
        <v/>
      </c>
      <c r="U79" s="115" t="s">
        <v>810</v>
      </c>
      <c r="V79" s="91"/>
      <c r="W79" s="91"/>
      <c r="X79" s="119"/>
    </row>
    <row r="80" spans="2:24" ht="12.75">
      <c r="B80" s="99">
        <v>0</v>
      </c>
      <c r="C80" s="99">
        <v>0</v>
      </c>
      <c r="D80" s="92">
        <v>0</v>
      </c>
      <c r="E80" s="85">
        <v>0</v>
      </c>
      <c r="F80" s="159">
        <v>17</v>
      </c>
      <c r="G80" s="148">
        <f>ROUND('[8]Section E1'!$Z29,1)</f>
        <v>0</v>
      </c>
      <c r="H80" s="152"/>
      <c r="I80" s="154"/>
      <c r="J80" s="154"/>
      <c r="P80" s="125">
        <v>16</v>
      </c>
      <c r="Q80" s="96">
        <v>8110</v>
      </c>
      <c r="R80" s="151" t="e">
        <f>IF(AND(N15&gt;33.333,N21&gt;33.333,(N51&gt;(N21*2/3)),N21&lt;N15,R149=8000),8110,"")</f>
        <v>#REF!</v>
      </c>
      <c r="S80" s="124"/>
      <c r="U80" s="120" t="s">
        <v>809</v>
      </c>
      <c r="X80" s="114"/>
    </row>
    <row r="81" spans="2:24" ht="12.75">
      <c r="B81" s="99">
        <v>0</v>
      </c>
      <c r="C81" s="99">
        <v>0</v>
      </c>
      <c r="D81" s="92">
        <v>0</v>
      </c>
      <c r="E81" s="85">
        <v>0</v>
      </c>
      <c r="F81" s="159">
        <v>18</v>
      </c>
      <c r="G81" s="148">
        <f>ROUND('[8]Section E1'!$Z30,1)</f>
        <v>0</v>
      </c>
      <c r="H81" s="152"/>
      <c r="I81" s="154"/>
      <c r="J81" s="154"/>
      <c r="P81" s="115"/>
      <c r="Q81" s="91">
        <v>8120</v>
      </c>
      <c r="R81" s="117" t="e">
        <f>IF(AND(N15&gt;33.333,N21&gt;33.333,(N51&gt;(N21*2/3)),N21&gt;=N15,R149=8000),8120,"")</f>
        <v>#REF!</v>
      </c>
      <c r="S81" s="142" t="str">
        <f>IF(COUNT(R80:R81)=1,16,"")</f>
        <v/>
      </c>
      <c r="U81" s="115" t="s">
        <v>808</v>
      </c>
      <c r="V81" s="91"/>
      <c r="W81" s="91"/>
      <c r="X81" s="114"/>
    </row>
    <row r="82" spans="2:24" ht="12.75">
      <c r="B82" s="99">
        <v>0</v>
      </c>
      <c r="C82" s="99">
        <v>0</v>
      </c>
      <c r="D82" s="92">
        <v>0</v>
      </c>
      <c r="E82" s="85">
        <v>0</v>
      </c>
      <c r="F82" s="159">
        <v>19</v>
      </c>
      <c r="G82" s="148">
        <f>ROUND('[8]Section E1'!$Z31,1)</f>
        <v>0</v>
      </c>
      <c r="H82" s="152"/>
      <c r="I82" s="154"/>
      <c r="J82" s="154"/>
      <c r="P82" s="125">
        <v>17</v>
      </c>
      <c r="Q82" s="96">
        <v>8132</v>
      </c>
      <c r="R82" s="151" t="e">
        <f>IF(AND(N15&gt;33.333,N18&gt;33.333,N15&gt;N18,R80="",R100="",R149=8000),8132,"")</f>
        <v>#REF!</v>
      </c>
      <c r="S82" s="124"/>
      <c r="U82" s="120" t="s">
        <v>807</v>
      </c>
      <c r="X82" s="119"/>
    </row>
    <row r="83" spans="2:24" ht="12.75">
      <c r="B83" s="99">
        <v>0</v>
      </c>
      <c r="C83" s="99">
        <v>0</v>
      </c>
      <c r="D83" s="92">
        <v>0</v>
      </c>
      <c r="E83" s="85">
        <v>0</v>
      </c>
      <c r="F83" s="159">
        <v>20</v>
      </c>
      <c r="G83" s="148">
        <f>ROUND('[8]Section E1'!$Z32,1)</f>
        <v>0</v>
      </c>
      <c r="H83" s="152"/>
      <c r="I83" s="154"/>
      <c r="J83" s="154"/>
      <c r="P83" s="115"/>
      <c r="Q83" s="91">
        <v>8142</v>
      </c>
      <c r="R83" s="117" t="e">
        <f>+IF(AND(N18&gt;33.333,N15&gt;33.333,N18&gt;=N15,R80="",R81="",R101="",R149=8000),8142,"")</f>
        <v>#REF!</v>
      </c>
      <c r="S83" s="142" t="str">
        <f>IF(COUNT(R82:R83)=1,17,"")</f>
        <v/>
      </c>
      <c r="U83" s="120" t="s">
        <v>806</v>
      </c>
      <c r="X83" s="119"/>
    </row>
    <row r="84" spans="2:24" ht="12.75">
      <c r="B84" s="99">
        <v>0</v>
      </c>
      <c r="C84" s="99">
        <v>0</v>
      </c>
      <c r="D84" s="92">
        <v>0</v>
      </c>
      <c r="E84" s="85">
        <v>0</v>
      </c>
      <c r="F84" s="159">
        <v>21</v>
      </c>
      <c r="G84" s="148">
        <f>ROUND('[8]Section E1'!$Z33,1)</f>
        <v>0</v>
      </c>
      <c r="H84" s="158"/>
      <c r="I84" s="154"/>
      <c r="J84" s="154"/>
      <c r="P84" s="106">
        <v>18</v>
      </c>
      <c r="Q84" s="102">
        <v>8210</v>
      </c>
      <c r="R84" s="141" t="e">
        <f>IF(AND(N15&gt;33.333,N19&gt;33.333,R150="",R149=8000),8210,"")</f>
        <v>#REF!</v>
      </c>
      <c r="S84" s="140" t="e">
        <f>IF(R84=8210,18,"")</f>
        <v>#REF!</v>
      </c>
      <c r="U84" s="106" t="s">
        <v>805</v>
      </c>
      <c r="V84" s="102"/>
      <c r="W84" s="102"/>
      <c r="X84" s="128"/>
    </row>
    <row r="85" spans="2:24" ht="12.75">
      <c r="B85" s="99">
        <v>0</v>
      </c>
      <c r="C85" s="99">
        <v>0</v>
      </c>
      <c r="D85" s="92">
        <v>0</v>
      </c>
      <c r="E85" s="85">
        <v>0</v>
      </c>
      <c r="F85" s="130">
        <v>28</v>
      </c>
      <c r="G85" s="148">
        <f>ROUND('[8]Section E2'!$Z10,1)</f>
        <v>0</v>
      </c>
      <c r="H85" s="128" t="s">
        <v>804</v>
      </c>
      <c r="I85" s="154"/>
      <c r="J85" s="157" t="s">
        <v>803</v>
      </c>
      <c r="K85" s="124">
        <f>C73</f>
        <v>1</v>
      </c>
      <c r="P85" s="125">
        <v>19</v>
      </c>
      <c r="Q85" s="96">
        <v>8220</v>
      </c>
      <c r="R85" s="151" t="e">
        <f>IF(AND(N17&gt;33.333,N18&gt;33.333,R150="",R149=8000),8220,"")</f>
        <v>#REF!</v>
      </c>
      <c r="S85" s="124"/>
      <c r="U85" s="120" t="s">
        <v>802</v>
      </c>
      <c r="X85" s="119"/>
    </row>
    <row r="86" spans="2:24" ht="12.75">
      <c r="B86" s="99">
        <v>0</v>
      </c>
      <c r="C86" s="99">
        <v>0</v>
      </c>
      <c r="D86" s="92">
        <v>0</v>
      </c>
      <c r="E86" s="85">
        <v>0</v>
      </c>
      <c r="F86" s="130">
        <v>75</v>
      </c>
      <c r="G86" s="148">
        <f>ROUND('[8]Section E2'!$Z11,1)</f>
        <v>0</v>
      </c>
      <c r="H86" s="156" t="s">
        <v>342</v>
      </c>
      <c r="I86" s="154"/>
      <c r="J86" s="120" t="s">
        <v>801</v>
      </c>
      <c r="K86" s="155">
        <f>G86</f>
        <v>0</v>
      </c>
      <c r="P86" s="115"/>
      <c r="Q86" s="91">
        <v>8232</v>
      </c>
      <c r="R86" s="117" t="e">
        <f>IF(AND(R153=8200,R84="",R85=""),8232,"")</f>
        <v>#REF!</v>
      </c>
      <c r="S86" s="142" t="str">
        <f>IF(COUNT(R85:R86)=1,19,"")</f>
        <v/>
      </c>
      <c r="U86" s="115" t="s">
        <v>800</v>
      </c>
      <c r="V86" s="91"/>
      <c r="W86" s="91"/>
      <c r="X86" s="114"/>
    </row>
    <row r="87" spans="2:24" ht="12.75">
      <c r="B87" s="99">
        <v>0</v>
      </c>
      <c r="C87" s="99">
        <v>0</v>
      </c>
      <c r="D87" s="92">
        <v>0</v>
      </c>
      <c r="E87" s="85">
        <v>0</v>
      </c>
      <c r="F87" s="130">
        <v>29</v>
      </c>
      <c r="G87" s="148">
        <f>ROUND('[8]Section E2'!$Z12,1)</f>
        <v>0</v>
      </c>
      <c r="H87" s="152"/>
      <c r="I87" s="154"/>
      <c r="J87" s="120" t="s">
        <v>799</v>
      </c>
      <c r="K87" s="155">
        <f>G87</f>
        <v>0</v>
      </c>
      <c r="P87" s="125">
        <v>20</v>
      </c>
      <c r="Q87" s="96">
        <v>5031</v>
      </c>
      <c r="R87" s="151" t="e">
        <f>IF(AND(N23&gt;33.333,N24&gt;33.333),5031,"")</f>
        <v>#REF!</v>
      </c>
      <c r="S87" s="124"/>
      <c r="T87" s="103"/>
      <c r="U87" s="120" t="s">
        <v>798</v>
      </c>
      <c r="X87" s="119"/>
    </row>
    <row r="88" spans="2:24" ht="12.75">
      <c r="B88" s="99">
        <v>0</v>
      </c>
      <c r="C88" s="99">
        <v>0</v>
      </c>
      <c r="D88" s="92">
        <v>0</v>
      </c>
      <c r="E88" s="85">
        <v>0</v>
      </c>
      <c r="F88" s="130">
        <v>32</v>
      </c>
      <c r="G88" s="148">
        <f>ROUND('[8]Section E2'!$Z13,1)</f>
        <v>0</v>
      </c>
      <c r="H88" s="152"/>
      <c r="I88" s="154"/>
      <c r="J88" s="120" t="s">
        <v>279</v>
      </c>
      <c r="K88" s="119">
        <f>K86+K87</f>
        <v>0</v>
      </c>
      <c r="P88" s="115"/>
      <c r="Q88" s="91">
        <v>5032</v>
      </c>
      <c r="R88" s="117" t="e">
        <f>IF(AND(R140=5030,R87=""),5032,"")</f>
        <v>#REF!</v>
      </c>
      <c r="S88" s="114"/>
      <c r="T88" s="103"/>
      <c r="U88" s="115" t="s">
        <v>797</v>
      </c>
      <c r="V88" s="91"/>
      <c r="W88" s="91"/>
      <c r="X88" s="114"/>
    </row>
    <row r="89" spans="2:24" ht="12.75">
      <c r="B89" s="99">
        <v>0</v>
      </c>
      <c r="C89" s="99">
        <v>0</v>
      </c>
      <c r="D89" s="92">
        <v>0</v>
      </c>
      <c r="E89" s="85">
        <v>0</v>
      </c>
      <c r="F89" s="130"/>
      <c r="G89" s="148"/>
      <c r="H89" s="152"/>
      <c r="I89" s="154"/>
      <c r="J89" s="153"/>
      <c r="K89" s="119"/>
      <c r="P89" s="125"/>
      <c r="Q89" s="96">
        <v>7110</v>
      </c>
      <c r="R89" s="151" t="e">
        <f>IF(AND(N18&lt;=66.667,N21&gt;33.333,N51&gt;(N21*2/3),N15&lt;=33.333,N16&lt;=33.333,N17&lt;=33.333,N19&lt;=33.333),7110,"")</f>
        <v>#REF!</v>
      </c>
      <c r="S89" s="124"/>
      <c r="U89" s="120" t="s">
        <v>796</v>
      </c>
      <c r="X89" s="119"/>
    </row>
    <row r="90" spans="2:24" ht="12.75">
      <c r="B90" s="99">
        <v>0</v>
      </c>
      <c r="C90" s="99">
        <v>0</v>
      </c>
      <c r="D90" s="92">
        <v>0</v>
      </c>
      <c r="E90" s="85">
        <v>0</v>
      </c>
      <c r="F90" s="130">
        <v>34</v>
      </c>
      <c r="G90" s="148">
        <f>ROUND('[8]Section E2'!$Z15,1)</f>
        <v>0</v>
      </c>
      <c r="H90" s="152"/>
      <c r="I90" s="154"/>
      <c r="J90" s="153"/>
      <c r="K90" s="119"/>
      <c r="P90" s="120"/>
      <c r="Q90" s="84">
        <v>7122</v>
      </c>
      <c r="R90" s="122" t="e">
        <f>IF(OR(AND(N18&gt;33.333,N18&lt;=66.667,N21&lt;=33.333,N15&lt;=33.333,N16&lt;=33.333,N17&lt;=33.333,N19&lt;=33.333,R99=""),AND(N18&gt;33.333,N18&lt;=66.667,N21&gt;33.333,N51&lt;=(N21*2/3),N15&lt;=33.333,N16&lt;=33.333,N17&lt;=33.333,N19&lt;=33.333,R99="")),7122,"")</f>
        <v>#REF!</v>
      </c>
      <c r="S90" s="121"/>
      <c r="U90" s="120" t="s">
        <v>795</v>
      </c>
      <c r="X90" s="119"/>
    </row>
    <row r="91" spans="2:24" ht="12.75">
      <c r="B91" s="99">
        <v>0</v>
      </c>
      <c r="C91" s="99">
        <v>0</v>
      </c>
      <c r="D91" s="92">
        <v>0</v>
      </c>
      <c r="E91" s="85">
        <v>0</v>
      </c>
      <c r="F91" s="130">
        <v>35</v>
      </c>
      <c r="G91" s="148">
        <f>ROUND('[8]Section E2'!$Z16,1)</f>
        <v>0</v>
      </c>
      <c r="H91" s="152"/>
      <c r="J91" s="120" t="s">
        <v>792</v>
      </c>
      <c r="K91" s="119">
        <f>IF(K86+K87&gt;0,K86/(K86+K87),0)</f>
        <v>0</v>
      </c>
      <c r="P91" s="120"/>
      <c r="Q91" s="84">
        <v>7210</v>
      </c>
      <c r="R91" s="122" t="e">
        <f>IF(AND(N21&gt;33.333,N19&gt;33.333,N51&gt;(N21*2/3)),7210,"")</f>
        <v>#REF!</v>
      </c>
      <c r="S91" s="121"/>
      <c r="U91" s="120" t="s">
        <v>794</v>
      </c>
      <c r="X91" s="119"/>
    </row>
    <row r="92" spans="2:24" ht="12.75">
      <c r="B92" s="99">
        <v>0</v>
      </c>
      <c r="C92" s="99">
        <v>0</v>
      </c>
      <c r="D92" s="92">
        <v>0</v>
      </c>
      <c r="E92" s="85">
        <v>0</v>
      </c>
      <c r="F92" s="130"/>
      <c r="G92" s="148"/>
      <c r="H92" s="114"/>
      <c r="J92" s="120" t="s">
        <v>790</v>
      </c>
      <c r="K92" s="119">
        <f>IF(K86+K87&gt;0,K87/(K86+K87),0)</f>
        <v>0</v>
      </c>
      <c r="P92" s="120"/>
      <c r="Q92" s="84">
        <v>7220</v>
      </c>
      <c r="R92" s="122" t="e">
        <f>IF(OR(AND(N18&gt;33.333,N19&gt;33.333,N21&lt;=33.333),AND(N21&gt;33.333,N19&gt;33.333,N51&lt;=(N21*2/3))),7220,"")</f>
        <v>#REF!</v>
      </c>
      <c r="S92" s="121"/>
      <c r="U92" s="120" t="s">
        <v>793</v>
      </c>
      <c r="X92" s="119"/>
    </row>
    <row r="93" spans="2:24" ht="12.75">
      <c r="B93" s="99">
        <v>0</v>
      </c>
      <c r="C93" s="99">
        <v>0</v>
      </c>
      <c r="D93" s="92">
        <v>0</v>
      </c>
      <c r="E93" s="85">
        <v>0</v>
      </c>
      <c r="F93" s="130">
        <v>42</v>
      </c>
      <c r="G93" s="148">
        <f>ROUND('[8]Section E2'!$Z25,1)</f>
        <v>0</v>
      </c>
      <c r="H93" s="145" t="s">
        <v>28</v>
      </c>
      <c r="I93" s="132"/>
      <c r="J93" s="120" t="s">
        <v>792</v>
      </c>
      <c r="K93" s="119">
        <f>IF(AND(K88=0,K85&gt;=2,K85&lt;=3),1,0)</f>
        <v>0</v>
      </c>
      <c r="P93" s="115"/>
      <c r="Q93" s="91">
        <v>7230</v>
      </c>
      <c r="R93" s="117" t="e">
        <f>IF(AND(R148=7200,R91="",R92=""),7230,"")</f>
        <v>#REF!</v>
      </c>
      <c r="S93" s="142" t="str">
        <f>IF(COUNT(R89:R93)=1,20,"")</f>
        <v/>
      </c>
      <c r="U93" s="120" t="s">
        <v>791</v>
      </c>
      <c r="X93" s="119"/>
    </row>
    <row r="94" spans="2:24" ht="12.75">
      <c r="B94" s="99">
        <v>0</v>
      </c>
      <c r="C94" s="99">
        <v>0</v>
      </c>
      <c r="D94" s="92">
        <v>0</v>
      </c>
      <c r="E94" s="85">
        <v>0</v>
      </c>
      <c r="F94" s="130">
        <v>43</v>
      </c>
      <c r="G94" s="148">
        <f>ROUND('[8]Section E2'!$Z26,1)</f>
        <v>0</v>
      </c>
      <c r="H94" s="139"/>
      <c r="J94" s="120" t="s">
        <v>790</v>
      </c>
      <c r="K94" s="119">
        <f>IF(AND(K88=0,K85&lt;&gt;2,K85&lt;&gt;3),1,0)</f>
        <v>1</v>
      </c>
      <c r="P94" s="106">
        <v>21</v>
      </c>
      <c r="Q94" s="102">
        <v>1311</v>
      </c>
      <c r="R94" s="141" t="e">
        <f>IF(AND(R107=1300,N20+N27+N29+N44&gt;66.667,N44&gt;66.667),1311,"")</f>
        <v>#REF!</v>
      </c>
      <c r="S94" s="140" t="e">
        <f>IF(R94=1311,21,"")</f>
        <v>#REF!</v>
      </c>
      <c r="U94" s="106" t="s">
        <v>789</v>
      </c>
      <c r="V94" s="102"/>
      <c r="W94" s="102"/>
      <c r="X94" s="128"/>
    </row>
    <row r="95" spans="2:24" ht="12.75">
      <c r="B95" s="99">
        <v>0</v>
      </c>
      <c r="C95" s="99">
        <v>0</v>
      </c>
      <c r="D95" s="92">
        <v>0</v>
      </c>
      <c r="E95" s="85">
        <v>0</v>
      </c>
      <c r="F95" s="130">
        <v>44</v>
      </c>
      <c r="G95" s="148">
        <f>ROUND('[8]Section E2'!$Z27,1)</f>
        <v>0</v>
      </c>
      <c r="H95" s="139"/>
      <c r="I95" s="132"/>
      <c r="J95" s="120"/>
      <c r="K95" s="119"/>
      <c r="P95" s="125">
        <v>22</v>
      </c>
      <c r="Q95" s="96">
        <v>1411</v>
      </c>
      <c r="R95" s="151" t="e">
        <f>IF(AND(N28&gt;66.667,R110=1400),1411,"")</f>
        <v>#REF!</v>
      </c>
      <c r="S95" s="150"/>
      <c r="U95" s="125"/>
      <c r="V95" s="96"/>
      <c r="W95" s="96"/>
      <c r="X95" s="124"/>
    </row>
    <row r="96" spans="2:24" ht="12.75">
      <c r="B96" s="99">
        <v>0</v>
      </c>
      <c r="C96" s="99">
        <v>0</v>
      </c>
      <c r="D96" s="92">
        <v>0</v>
      </c>
      <c r="E96" s="85">
        <v>0</v>
      </c>
      <c r="F96" s="130">
        <v>50</v>
      </c>
      <c r="G96" s="148">
        <f>ROUND('[8]Section E2'!$Z28,1)</f>
        <v>0</v>
      </c>
      <c r="H96" s="139"/>
      <c r="I96" s="132"/>
      <c r="J96" s="120" t="s">
        <v>788</v>
      </c>
      <c r="K96" s="119">
        <f>IF(K88&gt;0,K91,K93)</f>
        <v>0</v>
      </c>
      <c r="P96" s="120"/>
      <c r="Q96" s="84">
        <v>1444</v>
      </c>
      <c r="R96" s="122" t="e">
        <f>IF(AND(N28+N35+N36&gt;66.667,R111=1440),1444,"")</f>
        <v>#REF!</v>
      </c>
      <c r="S96" s="121"/>
      <c r="U96" s="120" t="s">
        <v>787</v>
      </c>
      <c r="X96" s="119"/>
    </row>
    <row r="97" spans="2:24" ht="12.75">
      <c r="B97" s="99">
        <v>0</v>
      </c>
      <c r="C97" s="99">
        <v>0</v>
      </c>
      <c r="D97" s="92">
        <v>0</v>
      </c>
      <c r="E97" s="85">
        <v>0</v>
      </c>
      <c r="F97" s="130">
        <v>51</v>
      </c>
      <c r="G97" s="148">
        <f>ROUND('[8]Section E2'!$Z29,1)</f>
        <v>0</v>
      </c>
      <c r="H97" s="139"/>
      <c r="I97" s="132"/>
      <c r="J97" s="115" t="s">
        <v>786</v>
      </c>
      <c r="K97" s="149">
        <f>IF(K88&gt;0,K92,K94)</f>
        <v>1</v>
      </c>
      <c r="P97" s="120"/>
      <c r="Q97" s="84">
        <v>4442</v>
      </c>
      <c r="R97" s="122" t="str">
        <f>IF((N66+N67)&gt;66.667,9200,"")</f>
        <v/>
      </c>
      <c r="S97" s="121"/>
      <c r="U97" s="120" t="s">
        <v>785</v>
      </c>
      <c r="X97" s="119"/>
    </row>
    <row r="98" spans="2:24" ht="12.75">
      <c r="B98" s="99">
        <v>0</v>
      </c>
      <c r="C98" s="99">
        <v>0</v>
      </c>
      <c r="D98" s="92">
        <v>0</v>
      </c>
      <c r="E98" s="85">
        <v>0</v>
      </c>
      <c r="F98" s="130">
        <v>46</v>
      </c>
      <c r="G98" s="148">
        <f>ROUND('[8]Section E2'!$Z31,1)</f>
        <v>0</v>
      </c>
      <c r="H98" s="139"/>
      <c r="I98" s="132"/>
      <c r="J98" s="132"/>
      <c r="P98" s="120"/>
      <c r="Q98" s="84">
        <v>6051</v>
      </c>
      <c r="R98" s="122" t="e">
        <f>IF(AND((N28+N35+N36)&lt;66.667,(N66+N67)&gt;33.333),9200,"")</f>
        <v>#REF!</v>
      </c>
      <c r="S98" s="121"/>
      <c r="U98" s="120" t="s">
        <v>784</v>
      </c>
      <c r="X98" s="119"/>
    </row>
    <row r="99" spans="2:24" ht="12.75">
      <c r="B99" s="147">
        <v>422</v>
      </c>
      <c r="C99" s="99"/>
      <c r="D99" s="92">
        <f>'[8]Section C2'!$I$35</f>
        <v>0</v>
      </c>
      <c r="E99" s="87"/>
      <c r="F99" s="87">
        <v>47</v>
      </c>
      <c r="G99" s="87">
        <f>ROUND('[8]Section E2'!$Z34,1)</f>
        <v>0</v>
      </c>
      <c r="H99" s="136"/>
      <c r="I99" s="132"/>
      <c r="J99" s="132"/>
      <c r="P99" s="120"/>
      <c r="Q99" s="84">
        <v>7121</v>
      </c>
      <c r="R99" s="122" t="e">
        <f>IF(AND((N28+N35+N36)&gt;33.333,(N66+N67)&lt;66.667),9200,"")</f>
        <v>#REF!</v>
      </c>
      <c r="S99" s="121"/>
      <c r="U99" s="120" t="s">
        <v>783</v>
      </c>
      <c r="X99" s="119"/>
    </row>
    <row r="100" spans="2:24" ht="12.75">
      <c r="B100" s="146" t="s">
        <v>782</v>
      </c>
      <c r="C100" s="102"/>
      <c r="D100" s="102"/>
      <c r="E100" s="128"/>
      <c r="F100" s="130">
        <v>54</v>
      </c>
      <c r="G100" s="134">
        <f>ROUND('[8]Section E2'!$Z40,0)</f>
        <v>0</v>
      </c>
      <c r="H100" s="145" t="s">
        <v>781</v>
      </c>
      <c r="I100" s="132"/>
      <c r="J100" s="132"/>
      <c r="P100" s="120"/>
      <c r="Q100" s="84">
        <v>8131</v>
      </c>
      <c r="R100" s="122" t="e">
        <f>IF(AND((N28+N35+N36)&gt;33.333,(N66+N67)&gt;33.333,((N28+N35+N36)&gt;(N66+N67))),9200,"")</f>
        <v>#REF!</v>
      </c>
      <c r="S100" s="121"/>
      <c r="U100" s="120" t="s">
        <v>780</v>
      </c>
      <c r="X100" s="119"/>
    </row>
    <row r="101" spans="2:24" ht="12.75">
      <c r="B101" s="144">
        <v>409</v>
      </c>
      <c r="C101" s="143"/>
      <c r="D101" s="85">
        <f t="array" ref="D101:E101">'[8]Section C3'!$H$35:$I$35</f>
        <v>0</v>
      </c>
      <c r="E101" s="85">
        <v>0</v>
      </c>
      <c r="F101" s="130">
        <v>55</v>
      </c>
      <c r="G101" s="134">
        <f>ROUND('[8]Section E2'!$Z41,0)</f>
        <v>0</v>
      </c>
      <c r="H101" s="139"/>
      <c r="I101" s="132"/>
      <c r="J101" s="132"/>
      <c r="P101" s="115"/>
      <c r="Q101" s="91">
        <v>8141</v>
      </c>
      <c r="R101" s="117" t="e">
        <f>IF(AND((N28+N35+N36)&gt;33.333,(N66+N67)&gt;33.333,((N66+N67)&gt;(N28+N35+N36))),9200,"")</f>
        <v>#REF!</v>
      </c>
      <c r="S101" s="142" t="str">
        <f>IF(COUNT(R95:R101)=1,22,"")</f>
        <v/>
      </c>
      <c r="U101" s="120" t="s">
        <v>779</v>
      </c>
      <c r="X101" s="119"/>
    </row>
    <row r="102" spans="2:24" ht="12.75">
      <c r="B102" s="125"/>
      <c r="C102" s="96"/>
      <c r="D102" s="96"/>
      <c r="E102" s="124"/>
      <c r="F102" s="130">
        <v>56</v>
      </c>
      <c r="G102" s="134">
        <f>ROUND('[8]Section E2'!$Z42,0)</f>
        <v>0</v>
      </c>
      <c r="H102" s="139"/>
      <c r="I102" s="132"/>
      <c r="J102" s="132"/>
      <c r="P102" s="106">
        <v>23</v>
      </c>
      <c r="Q102" s="102">
        <v>4441</v>
      </c>
      <c r="R102" s="141" t="e">
        <f>IF(N45&gt;66.667,4441,"")</f>
        <v>#REF!</v>
      </c>
      <c r="S102" s="140" t="e">
        <f>IF(R102=4441,23,"")</f>
        <v>#REF!</v>
      </c>
      <c r="U102" s="115" t="s">
        <v>778</v>
      </c>
      <c r="V102" s="91"/>
      <c r="W102" s="91"/>
      <c r="X102" s="114"/>
    </row>
    <row r="103" spans="2:24" ht="12.75">
      <c r="B103" s="120"/>
      <c r="E103" s="119"/>
      <c r="F103" s="130">
        <v>57</v>
      </c>
      <c r="G103" s="134">
        <f>ROUND('[8]Section E2'!$Z43,0)</f>
        <v>0</v>
      </c>
      <c r="H103" s="119"/>
      <c r="P103" s="106">
        <v>24</v>
      </c>
      <c r="Q103" s="102">
        <v>9100</v>
      </c>
      <c r="R103" s="141" t="str">
        <f>IF(N65=100,9100,"")</f>
        <v/>
      </c>
      <c r="S103" s="140" t="str">
        <f>IF(R103=9100,24,"")</f>
        <v/>
      </c>
      <c r="U103" s="106" t="s">
        <v>777</v>
      </c>
      <c r="V103" s="102"/>
      <c r="W103" s="102"/>
      <c r="X103" s="128"/>
    </row>
    <row r="104" spans="2:24" ht="12.75">
      <c r="B104" s="120"/>
      <c r="E104" s="119"/>
      <c r="F104" s="130">
        <v>58</v>
      </c>
      <c r="G104" s="134">
        <f>ROUND('[8]Section E2'!$Z44,0)</f>
        <v>0</v>
      </c>
      <c r="H104" s="139"/>
      <c r="I104" s="132"/>
      <c r="J104" s="132"/>
      <c r="P104" s="125">
        <v>25</v>
      </c>
      <c r="Q104" s="96">
        <v>9200</v>
      </c>
      <c r="R104" s="96" t="e">
        <f>+IF(AND(R106="",R114="",R118="",R131="",R137="",R141="",R145="",R149="",R103=""),9200,"")</f>
        <v>#REF!</v>
      </c>
      <c r="S104" s="124" t="e">
        <f>IF(R104=9200,25,"")</f>
        <v>#REF!</v>
      </c>
      <c r="U104" s="106" t="s">
        <v>776</v>
      </c>
      <c r="V104" s="102"/>
      <c r="W104" s="102"/>
      <c r="X104" s="128"/>
    </row>
    <row r="105" spans="2:24" ht="12.75">
      <c r="B105" s="120"/>
      <c r="E105" s="119"/>
      <c r="F105" s="130">
        <v>59</v>
      </c>
      <c r="G105" s="134">
        <f>ROUND('[8]Section E2'!$Z45,0)</f>
        <v>0</v>
      </c>
      <c r="H105" s="139"/>
      <c r="I105" s="132"/>
      <c r="J105" s="132"/>
      <c r="P105" s="120"/>
      <c r="Q105" s="138"/>
      <c r="R105" s="84" t="e">
        <f>SUM(R15:R104)</f>
        <v>#REF!</v>
      </c>
      <c r="S105" s="119">
        <f>IF(COUNT(S15:S104)=1,(SUM(S15:S104)),0)</f>
        <v>0</v>
      </c>
      <c r="U105" s="106"/>
      <c r="V105" s="118"/>
      <c r="W105" s="118"/>
      <c r="X105" s="137"/>
    </row>
    <row r="106" spans="2:24" ht="12.75">
      <c r="B106" s="120"/>
      <c r="E106" s="119"/>
      <c r="F106" s="130">
        <v>60</v>
      </c>
      <c r="G106" s="134">
        <f>ROUND('[8]Section E2'!$Z46,0)</f>
        <v>0</v>
      </c>
      <c r="H106" s="136"/>
      <c r="I106" s="132"/>
      <c r="J106" s="132"/>
      <c r="P106" s="120"/>
      <c r="Q106" s="84">
        <v>1000</v>
      </c>
      <c r="R106" s="122" t="e">
        <f>IF(N15&gt;66.667,1000,"")</f>
        <v>#REF!</v>
      </c>
      <c r="S106" s="121"/>
      <c r="U106" s="125" t="s">
        <v>775</v>
      </c>
      <c r="V106" s="96"/>
      <c r="W106" s="96"/>
      <c r="X106" s="124"/>
    </row>
    <row r="107" spans="2:24" ht="12.75">
      <c r="B107" s="120"/>
      <c r="E107" s="119"/>
      <c r="F107" s="130">
        <v>84</v>
      </c>
      <c r="G107" s="134">
        <f>ROUND('[8]Section E2'!$Z51,1)</f>
        <v>0</v>
      </c>
      <c r="H107" s="135" t="s">
        <v>774</v>
      </c>
      <c r="I107" s="132"/>
      <c r="J107" s="132"/>
      <c r="P107" s="120"/>
      <c r="Q107" s="84">
        <v>1300</v>
      </c>
      <c r="R107" s="122" t="e">
        <f>IF(N20+N27+N29+N44&gt;66.667,1300,"")</f>
        <v>#REF!</v>
      </c>
      <c r="S107" s="121"/>
      <c r="U107" s="120" t="s">
        <v>773</v>
      </c>
      <c r="X107" s="119"/>
    </row>
    <row r="108" spans="2:24" ht="12.75">
      <c r="B108" s="120"/>
      <c r="E108" s="119"/>
      <c r="F108" s="130">
        <v>85</v>
      </c>
      <c r="G108" s="134">
        <f>ROUND('[8]Section E2'!$Z52,1)</f>
        <v>0</v>
      </c>
      <c r="H108" s="135"/>
      <c r="I108" s="132"/>
      <c r="J108" s="132"/>
      <c r="P108" s="120"/>
      <c r="Q108" s="84">
        <v>1320</v>
      </c>
      <c r="R108" s="122" t="e">
        <f>IF(AND(N20+N27+N29+N44&gt;66.667,N62&gt;66.6667),1320,"")</f>
        <v>#REF!</v>
      </c>
      <c r="S108" s="121"/>
      <c r="U108" s="120" t="s">
        <v>772</v>
      </c>
      <c r="X108" s="119"/>
    </row>
    <row r="109" spans="2:24" ht="12.75">
      <c r="B109" s="120"/>
      <c r="E109" s="119"/>
      <c r="F109" s="130">
        <v>86</v>
      </c>
      <c r="G109" s="134">
        <f>ROUND('[8]Section E2'!$Z53,1)</f>
        <v>0</v>
      </c>
      <c r="H109" s="135"/>
      <c r="I109" s="132"/>
      <c r="J109" s="132"/>
      <c r="P109" s="120"/>
      <c r="Q109" s="84">
        <v>1330</v>
      </c>
      <c r="R109" s="122"/>
      <c r="S109" s="121"/>
      <c r="U109" s="120" t="s">
        <v>771</v>
      </c>
      <c r="X109" s="119"/>
    </row>
    <row r="110" spans="2:24" ht="12.75">
      <c r="B110" s="115"/>
      <c r="C110" s="91"/>
      <c r="D110" s="91"/>
      <c r="E110" s="114"/>
      <c r="F110" s="130">
        <v>67</v>
      </c>
      <c r="G110" s="134">
        <f>ROUND('[8]Section E2'!$Z55,1)</f>
        <v>0</v>
      </c>
      <c r="H110" s="135"/>
      <c r="I110" s="132"/>
      <c r="P110" s="120"/>
      <c r="Q110" s="84">
        <v>1400</v>
      </c>
      <c r="R110" s="122" t="e">
        <f>+IF(AND(N15&gt;66.667,N20+N27+N29+N44&lt;=66.667),1400,"")</f>
        <v>#REF!</v>
      </c>
      <c r="S110" s="121"/>
      <c r="U110" s="120" t="s">
        <v>770</v>
      </c>
      <c r="X110" s="119"/>
    </row>
    <row r="111" spans="2:24" ht="12.75">
      <c r="F111" s="130">
        <v>69</v>
      </c>
      <c r="G111" s="134">
        <f>ROUND('[8]Section E2'!$Z56,1)</f>
        <v>0</v>
      </c>
      <c r="H111" s="135"/>
      <c r="I111" s="132"/>
      <c r="J111" s="132"/>
      <c r="P111" s="120"/>
      <c r="Q111" s="84">
        <v>1440</v>
      </c>
      <c r="R111" s="122" t="e">
        <f>IF(AND(R110=1400,R17="",R18="",R16="",R95=""),1440,"")</f>
        <v>#REF!</v>
      </c>
      <c r="S111" s="121"/>
      <c r="U111" s="120" t="s">
        <v>769</v>
      </c>
      <c r="X111" s="119"/>
    </row>
    <row r="112" spans="2:24" ht="13.5" thickBot="1">
      <c r="F112" s="130">
        <v>71</v>
      </c>
      <c r="G112" s="134">
        <f>ROUND('[8]Section E2'!$Z57,1)</f>
        <v>0</v>
      </c>
      <c r="H112" s="133"/>
      <c r="I112" s="132"/>
      <c r="J112" s="132"/>
      <c r="P112" s="120"/>
      <c r="Q112" s="84">
        <v>1441</v>
      </c>
      <c r="R112" s="122"/>
      <c r="S112" s="121"/>
      <c r="U112" s="120" t="s">
        <v>768</v>
      </c>
      <c r="X112" s="119"/>
    </row>
    <row r="113" spans="2:24" ht="12.75">
      <c r="H113" s="132"/>
      <c r="I113" s="132"/>
      <c r="J113" s="132"/>
      <c r="P113" s="120"/>
      <c r="Q113" s="84">
        <v>1442</v>
      </c>
      <c r="R113" s="122"/>
      <c r="S113" s="121"/>
      <c r="U113" s="115" t="s">
        <v>767</v>
      </c>
      <c r="V113" s="91"/>
      <c r="W113" s="91"/>
      <c r="X113" s="114"/>
    </row>
    <row r="114" spans="2:24" ht="12.75">
      <c r="B114" s="87" t="s">
        <v>766</v>
      </c>
      <c r="C114" s="130" t="s">
        <v>765</v>
      </c>
      <c r="D114" s="131" t="s">
        <v>764</v>
      </c>
      <c r="E114" s="130" t="s">
        <v>763</v>
      </c>
      <c r="F114" s="130"/>
      <c r="G114" s="129" t="s">
        <v>762</v>
      </c>
      <c r="H114" s="102"/>
      <c r="I114" s="128"/>
      <c r="P114" s="120"/>
      <c r="Q114" s="84">
        <v>2000</v>
      </c>
      <c r="R114" s="122" t="e">
        <f>IF(N16&gt;66.667,2000,"")</f>
        <v>#REF!</v>
      </c>
      <c r="S114" s="121"/>
      <c r="U114" s="125" t="s">
        <v>761</v>
      </c>
      <c r="V114" s="96"/>
      <c r="W114" s="96"/>
      <c r="X114" s="124"/>
    </row>
    <row r="115" spans="2:24" ht="12.75">
      <c r="B115" s="99">
        <v>1</v>
      </c>
      <c r="C115" s="86">
        <f>IF(ISERROR(VLOOKUP(B115,B76:E98,2,FALSE)),0,(VLOOKUP(B115,B76:E98,2,FALSE)))</f>
        <v>0</v>
      </c>
      <c r="D115" s="92">
        <f>IF(ISERROR(VLOOKUP(B115,B76:E98,3,FALSE)),0,(VLOOKUP(B115,B76:E98,3,FALSE)))</f>
        <v>0</v>
      </c>
      <c r="E115" s="85">
        <f>IF(ISERROR(VLOOKUP(B115,B76:E98,4,FALSE)),0,(VLOOKUP(B115,B76:E98,4,FALSE)))</f>
        <v>0</v>
      </c>
      <c r="F115" s="85">
        <f>SUM(D115:D118)</f>
        <v>0</v>
      </c>
      <c r="G115" s="127" t="s">
        <v>760</v>
      </c>
      <c r="H115" s="91"/>
      <c r="I115" s="114"/>
      <c r="P115" s="120"/>
      <c r="Q115" s="84">
        <v>2010</v>
      </c>
      <c r="R115" s="122" t="e">
        <f>IF((N31+N32)&gt;66.667,2010,"")</f>
        <v>#REF!</v>
      </c>
      <c r="S115" s="121"/>
      <c r="U115" s="120" t="s">
        <v>759</v>
      </c>
      <c r="X115" s="119"/>
    </row>
    <row r="116" spans="2:24" ht="12.75">
      <c r="B116" s="99">
        <v>2</v>
      </c>
      <c r="C116" s="86">
        <f>IF(ISERROR(VLOOKUP(B116,B76:E98,2,FALSE)),0,(VLOOKUP(B116,B76:E98,2,FALSE)))</f>
        <v>0</v>
      </c>
      <c r="D116" s="92">
        <f>IF(ISERROR(VLOOKUP(B116,B76:D98,3,FALSE)),0,(VLOOKUP(B116,B76:D98,3,FALSE)))</f>
        <v>0</v>
      </c>
      <c r="E116" s="85">
        <f>IF(ISERROR(VLOOKUP(B116,B76:E98,4,FALSE)),0,(VLOOKUP(B116,B76:E98,4,FALSE)))</f>
        <v>0</v>
      </c>
      <c r="F116" s="85">
        <f>D126</f>
        <v>0</v>
      </c>
      <c r="G116" s="126">
        <v>31</v>
      </c>
      <c r="H116" s="91"/>
      <c r="I116" s="114"/>
      <c r="P116" s="120"/>
      <c r="Q116" s="84">
        <v>2020</v>
      </c>
      <c r="R116" s="122" t="e">
        <f>IF((N33+N34)&gt;66.667,2020,"")</f>
        <v>#REF!</v>
      </c>
      <c r="S116" s="121"/>
      <c r="U116" s="120" t="s">
        <v>758</v>
      </c>
      <c r="X116" s="119"/>
    </row>
    <row r="117" spans="2:24" ht="12.75">
      <c r="B117" s="99">
        <v>3</v>
      </c>
      <c r="C117" s="86">
        <f>IF(ISERROR(VLOOKUP(B117,B76:E98,2,FALSE)),0,(VLOOKUP(B117,B76:E98,2,FALSE)))</f>
        <v>0</v>
      </c>
      <c r="D117" s="92">
        <f>IF(ISERROR(VLOOKUP(B117,B76:D98,3,FALSE)),0,(VLOOKUP(B117,B76:D98,3,FALSE)))</f>
        <v>0</v>
      </c>
      <c r="E117" s="85">
        <f>IF(ISERROR(VLOOKUP(B117,B76:E98,4,FALSE)),0,(VLOOKUP(B117,B76:E98,4,FALSE)))</f>
        <v>0</v>
      </c>
      <c r="F117" s="85">
        <f>SUM(D120:D122)</f>
        <v>0</v>
      </c>
      <c r="G117" s="126" t="s">
        <v>757</v>
      </c>
      <c r="H117" s="91"/>
      <c r="I117" s="114"/>
      <c r="P117" s="120"/>
      <c r="Q117" s="84">
        <v>2030</v>
      </c>
      <c r="R117" s="122" t="e">
        <f>IF(AND(N16&gt;66.667,(N31+N32)&lt;=66.667,(N33+N34)&lt;=66.667),2030,"")</f>
        <v>#REF!</v>
      </c>
      <c r="S117" s="121"/>
      <c r="U117" s="115" t="s">
        <v>756</v>
      </c>
      <c r="V117" s="91"/>
      <c r="W117" s="91"/>
      <c r="X117" s="114"/>
    </row>
    <row r="118" spans="2:24" ht="12.75">
      <c r="B118" s="99">
        <v>4</v>
      </c>
      <c r="C118" s="86">
        <f>IF(ISERROR(VLOOKUP(B118,B76:E98,2,FALSE)),0,(VLOOKUP(B118,B76:E98,2,FALSE)))</f>
        <v>0</v>
      </c>
      <c r="D118" s="92">
        <f>IF(ISERROR(VLOOKUP(B118,B76:D98,3,FALSE)),0,(VLOOKUP(B118,B76:D98,3,FALSE)))</f>
        <v>0</v>
      </c>
      <c r="E118" s="85">
        <f>IF(ISERROR(VLOOKUP(B118,B76:E98,4,FALSE)),0,(VLOOKUP(B118,B76:E98,4,FALSE)))</f>
        <v>0</v>
      </c>
      <c r="F118" s="85">
        <f>SUM(D123:D125)</f>
        <v>0</v>
      </c>
      <c r="G118" s="126" t="s">
        <v>755</v>
      </c>
      <c r="H118" s="91"/>
      <c r="I118" s="114"/>
      <c r="P118" s="120"/>
      <c r="Q118" s="84">
        <v>3000</v>
      </c>
      <c r="R118" s="122" t="e">
        <f>IF(N17&gt;66.667,3000,"")</f>
        <v>#REF!</v>
      </c>
      <c r="S118" s="121"/>
      <c r="U118" s="125" t="s">
        <v>754</v>
      </c>
      <c r="V118" s="96"/>
      <c r="W118" s="96"/>
      <c r="X118" s="124"/>
    </row>
    <row r="119" spans="2:24" ht="12.75">
      <c r="B119" s="99">
        <v>5</v>
      </c>
      <c r="C119" s="86">
        <f>IF(ISERROR(VLOOKUP(B119,B76:E98,2,FALSE)),0,(VLOOKUP(B119,B76:E98,2,FALSE)))</f>
        <v>0</v>
      </c>
      <c r="D119" s="92">
        <f>IF(ISERROR(VLOOKUP(B119,B76:D98,3,FALSE)),0,(VLOOKUP(B119,B76:D98,3,FALSE)))</f>
        <v>0</v>
      </c>
      <c r="E119" s="85">
        <f>IF(ISERROR(VLOOKUP(B119,B76:E98,4,FALSE)),0,(VLOOKUP(B119,B76:E98,4,FALSE)))</f>
        <v>0</v>
      </c>
      <c r="F119" s="85">
        <f>D128</f>
        <v>0</v>
      </c>
      <c r="G119" s="115">
        <v>52</v>
      </c>
      <c r="H119" s="91"/>
      <c r="I119" s="114"/>
      <c r="P119" s="120"/>
      <c r="Q119" s="84">
        <v>3100</v>
      </c>
      <c r="R119" s="122" t="e">
        <f>IF(N41&gt;66.667,3100,"")</f>
        <v>#REF!</v>
      </c>
      <c r="S119" s="121"/>
      <c r="U119" s="120" t="s">
        <v>753</v>
      </c>
      <c r="X119" s="119"/>
    </row>
    <row r="120" spans="2:24" ht="12.75">
      <c r="B120" s="99">
        <v>11</v>
      </c>
      <c r="C120" s="86">
        <f>IF(ISERROR(VLOOKUP(B120,B76:E98,2,FALSE)),0,(VLOOKUP(B120,B76:E98,2,FALSE)))</f>
        <v>0</v>
      </c>
      <c r="D120" s="92">
        <f>IF(ISERROR(VLOOKUP(B120,B76:D98,3,FALSE)),0,(VLOOKUP(B120,B76:D98,3,FALSE)))</f>
        <v>0</v>
      </c>
      <c r="E120" s="85">
        <f>IF(ISERROR(VLOOKUP(B120,B76:E98,4,FALSE)),0,(VLOOKUP(B120,B76:E98,4,FALSE)))</f>
        <v>0</v>
      </c>
      <c r="F120" s="85">
        <f>D119+D127</f>
        <v>0</v>
      </c>
      <c r="G120" s="126" t="s">
        <v>752</v>
      </c>
      <c r="H120" s="91"/>
      <c r="I120" s="114"/>
      <c r="P120" s="120"/>
      <c r="Q120" s="84">
        <v>3141</v>
      </c>
      <c r="R120" s="122"/>
      <c r="S120" s="121"/>
      <c r="U120" s="120" t="s">
        <v>751</v>
      </c>
      <c r="X120" s="119"/>
    </row>
    <row r="121" spans="2:24" ht="12.75">
      <c r="B121" s="99">
        <v>12</v>
      </c>
      <c r="C121" s="86">
        <f>IF(ISERROR(VLOOKUP(B121,B76:E98,2,FALSE)),0,(VLOOKUP(B121,B76:E98,2,FALSE)))</f>
        <v>0</v>
      </c>
      <c r="D121" s="92">
        <f>IF(ISERROR(VLOOKUP(B121,B76:D98,3,FALSE)),0,(VLOOKUP(B121,B76:D98,3,FALSE)))</f>
        <v>0</v>
      </c>
      <c r="E121" s="85">
        <f>IF(ISERROR(VLOOKUP(B121,B76:E98,4,FALSE)),0,(VLOOKUP(B121,B76:E98,4,FALSE)))</f>
        <v>0</v>
      </c>
      <c r="F121" s="85">
        <f>D129+D130+D132+D133</f>
        <v>0</v>
      </c>
      <c r="G121" s="126" t="s">
        <v>750</v>
      </c>
      <c r="H121" s="91"/>
      <c r="I121" s="114"/>
      <c r="P121" s="120"/>
      <c r="Q121" s="84">
        <v>3142</v>
      </c>
      <c r="R121" s="122"/>
      <c r="S121" s="121"/>
      <c r="U121" s="120" t="s">
        <v>749</v>
      </c>
      <c r="X121" s="119"/>
    </row>
    <row r="122" spans="2:24" ht="12.75">
      <c r="B122" s="99">
        <v>13</v>
      </c>
      <c r="C122" s="86">
        <f>IF(ISERROR(VLOOKUP(B122,B76:E98,2,FALSE)),0,(VLOOKUP(B122,B76:E98,2,FALSE)))</f>
        <v>0</v>
      </c>
      <c r="D122" s="92">
        <f>IF(ISERROR(VLOOKUP(B122,B76:D98,3,FALSE)),0,(VLOOKUP(B122,B76:D98,3,FALSE)))</f>
        <v>0</v>
      </c>
      <c r="E122" s="85">
        <f>IF(ISERROR(VLOOKUP(B122,B76:E98,4,FALSE)),0,(VLOOKUP(B122,B76:E98,4,FALSE)))</f>
        <v>0</v>
      </c>
      <c r="F122" s="85">
        <f>D131</f>
        <v>0</v>
      </c>
      <c r="G122" s="126">
        <v>63</v>
      </c>
      <c r="H122" s="91"/>
      <c r="I122" s="114"/>
      <c r="P122" s="120"/>
      <c r="Q122" s="84">
        <v>3143</v>
      </c>
      <c r="R122" s="122"/>
      <c r="S122" s="121"/>
      <c r="U122" s="120" t="s">
        <v>748</v>
      </c>
      <c r="X122" s="119"/>
    </row>
    <row r="123" spans="2:24" ht="12.75">
      <c r="B123" s="99">
        <v>21</v>
      </c>
      <c r="C123" s="86">
        <f>IF(ISERROR(VLOOKUP(B123,B76:E98,2,FALSE)),0,(VLOOKUP(B123,B76:E98,2,FALSE)))</f>
        <v>0</v>
      </c>
      <c r="D123" s="92">
        <f>IF(ISERROR(VLOOKUP(B123,B76:D98,3,FALSE)),0,(VLOOKUP(B123,B76:D98,3,FALSE)))</f>
        <v>0</v>
      </c>
      <c r="E123" s="85">
        <f>IF(ISERROR(VLOOKUP(B123,B76:E98,4,FALSE)),0,(VLOOKUP(B123,B76:E98,4,FALSE)))</f>
        <v>0</v>
      </c>
      <c r="F123" s="85">
        <f>SUM(D134:D137)</f>
        <v>0</v>
      </c>
      <c r="G123" s="126" t="s">
        <v>747</v>
      </c>
      <c r="H123" s="91"/>
      <c r="I123" s="114"/>
      <c r="P123" s="120"/>
      <c r="Q123" s="84">
        <v>3200</v>
      </c>
      <c r="R123" s="122" t="e">
        <f>IF((N39+N40)&gt;66.667,3200,"")</f>
        <v>#REF!</v>
      </c>
      <c r="S123" s="121"/>
      <c r="U123" s="120" t="s">
        <v>746</v>
      </c>
      <c r="X123" s="119"/>
    </row>
    <row r="124" spans="2:24" ht="12.75">
      <c r="B124" s="99">
        <v>22</v>
      </c>
      <c r="C124" s="86">
        <f>IF(ISERROR(VLOOKUP(B124,B76:E98,2,FALSE)),0,(VLOOKUP(B124,B76:E98,2,FALSE)))</f>
        <v>0</v>
      </c>
      <c r="D124" s="92">
        <f>IF(ISERROR(VLOOKUP(B124,B76:D98,3,FALSE)),0,(VLOOKUP(B124,B76:D98,3,FALSE)))</f>
        <v>0</v>
      </c>
      <c r="E124" s="85">
        <f>IF(ISERROR(VLOOKUP(B124,B76:E98,4,FALSE)),0,(VLOOKUP(B124,B76:E98,4,FALSE)))</f>
        <v>0</v>
      </c>
      <c r="F124" s="85">
        <f>D138</f>
        <v>0</v>
      </c>
      <c r="G124" s="126">
        <v>81</v>
      </c>
      <c r="H124" s="91"/>
      <c r="I124" s="114"/>
      <c r="P124" s="120"/>
      <c r="Q124" s="84">
        <v>3211</v>
      </c>
      <c r="R124" s="122" t="e">
        <f>IF(N39&gt;66.667,3211,"")</f>
        <v>#REF!</v>
      </c>
      <c r="S124" s="121"/>
      <c r="U124" s="120" t="s">
        <v>745</v>
      </c>
      <c r="X124" s="119"/>
    </row>
    <row r="125" spans="2:24" ht="12.75">
      <c r="B125" s="99">
        <v>23</v>
      </c>
      <c r="C125" s="86">
        <f>IF(ISERROR(VLOOKUP(B125,B76:E98,2,FALSE)),0,(VLOOKUP(B125,B76:E98,2,FALSE)))</f>
        <v>0</v>
      </c>
      <c r="D125" s="92">
        <f>IF(ISERROR(VLOOKUP(B125,B76:D98,3,FALSE)),0,(VLOOKUP(B125,B76:D98,3,FALSE)))</f>
        <v>0</v>
      </c>
      <c r="E125" s="85">
        <f>IF(ISERROR(VLOOKUP(B125,B76:E98,4,FALSE)),0,(VLOOKUP(B125,B76:E98,4,FALSE)))</f>
        <v>0</v>
      </c>
      <c r="F125" s="85"/>
      <c r="G125" s="115"/>
      <c r="H125" s="91"/>
      <c r="I125" s="114"/>
      <c r="P125" s="120"/>
      <c r="Q125" s="84">
        <v>3212</v>
      </c>
      <c r="R125" s="122" t="e">
        <f>IF(N40&gt;66.667,3212,"")</f>
        <v>#REF!</v>
      </c>
      <c r="S125" s="121"/>
      <c r="U125" s="120" t="s">
        <v>744</v>
      </c>
      <c r="X125" s="119"/>
    </row>
    <row r="126" spans="2:24" ht="12.75">
      <c r="B126" s="99">
        <v>31</v>
      </c>
      <c r="C126" s="86">
        <f>IF(ISERROR(VLOOKUP(B126,B76:E98,2,FALSE)),0,(VLOOKUP(B126,B76:E98,2,FALSE)))</f>
        <v>0</v>
      </c>
      <c r="D126" s="92">
        <f>IF(ISERROR(VLOOKUP(B126,B76:D98,3,FALSE)),0,(VLOOKUP(B126,B76:D98,3,FALSE)))</f>
        <v>0</v>
      </c>
      <c r="E126" s="85">
        <f>IF(ISERROR(VLOOKUP(B126,B76:E98,4,FALSE)),0,(VLOOKUP(B126,B76:E98,4,FALSE)))</f>
        <v>0</v>
      </c>
      <c r="F126" s="85">
        <f>D149</f>
        <v>0</v>
      </c>
      <c r="G126" s="126">
        <v>101</v>
      </c>
      <c r="H126" s="91"/>
      <c r="I126" s="114"/>
      <c r="P126" s="120"/>
      <c r="Q126" s="84">
        <v>3213</v>
      </c>
      <c r="R126" s="122"/>
      <c r="S126" s="121"/>
      <c r="U126" s="120" t="s">
        <v>743</v>
      </c>
      <c r="X126" s="119"/>
    </row>
    <row r="127" spans="2:24" ht="12.75">
      <c r="B127" s="99">
        <v>41</v>
      </c>
      <c r="C127" s="86">
        <f>IF(ISERROR(VLOOKUP(B127,B76:E98,2,FALSE)),0,(VLOOKUP(B127,B76:E98,2,FALSE)))</f>
        <v>0</v>
      </c>
      <c r="D127" s="92">
        <f>IF(ISERROR(VLOOKUP(B127,B76:D98,3,FALSE)),0,(VLOOKUP(B127,B76:D98,3,FALSE)))</f>
        <v>0</v>
      </c>
      <c r="E127" s="85">
        <f>IF(ISERROR(VLOOKUP(B127,B76:E98,4,FALSE)),0,(VLOOKUP(B127,B76:E98,4,FALSE)))</f>
        <v>0</v>
      </c>
      <c r="F127" s="85">
        <f>IF(C141=8,0,D141)+IF(C142=8,0,D142)+IF(C143=8,0,D143)+IF(C144=8,0,D144)+IF(C145=8,0,D145)+IF(C147=8,0,D147)</f>
        <v>0</v>
      </c>
      <c r="G127" s="126" t="s">
        <v>742</v>
      </c>
      <c r="H127" s="91"/>
      <c r="I127" s="114"/>
      <c r="P127" s="120"/>
      <c r="Q127" s="84">
        <v>3220</v>
      </c>
      <c r="R127" s="122"/>
      <c r="S127" s="121"/>
      <c r="U127" s="120" t="s">
        <v>741</v>
      </c>
      <c r="X127" s="119"/>
    </row>
    <row r="128" spans="2:24" ht="12.75">
      <c r="B128" s="99">
        <v>52</v>
      </c>
      <c r="C128" s="86">
        <f>IF(ISERROR(VLOOKUP(B128,B76:E98,2,FALSE)),0,(VLOOKUP(B128,B76:E98,2,FALSE)))</f>
        <v>0</v>
      </c>
      <c r="D128" s="92">
        <f>IF(ISERROR(VLOOKUP(B128,B76:D98,3,FALSE)),0,(VLOOKUP(B128,B76:D98,3,FALSE)))</f>
        <v>0</v>
      </c>
      <c r="E128" s="85">
        <f>IF(ISERROR(VLOOKUP(B128,B76:E98,4,FALSE)),0,(VLOOKUP(B128,B76:E98,4,FALSE)))</f>
        <v>0</v>
      </c>
      <c r="F128" s="85">
        <f>D146</f>
        <v>0</v>
      </c>
      <c r="G128" s="126">
        <v>92</v>
      </c>
      <c r="H128" s="91"/>
      <c r="I128" s="114"/>
      <c r="P128" s="120"/>
      <c r="Q128" s="84">
        <v>3230</v>
      </c>
      <c r="R128" s="122"/>
      <c r="S128" s="121"/>
      <c r="U128" s="120" t="s">
        <v>740</v>
      </c>
      <c r="X128" s="119"/>
    </row>
    <row r="129" spans="2:24" ht="12.75">
      <c r="B129" s="99">
        <v>61</v>
      </c>
      <c r="C129" s="86">
        <f>IF(ISERROR(VLOOKUP(B129,B76:E98,2,FALSE)),0,(VLOOKUP(B129,B76:E98,2,FALSE)))</f>
        <v>0</v>
      </c>
      <c r="D129" s="92">
        <f>IF(ISERROR(VLOOKUP(B129,B76:D98,3,FALSE)),0,(VLOOKUP(B129,B76:D98,3,FALSE)))</f>
        <v>0</v>
      </c>
      <c r="E129" s="85">
        <f>IF(ISERROR(VLOOKUP(B129,B76:E98,4,FALSE)),0,(VLOOKUP(B129,B76:E98,4,FALSE)))</f>
        <v>0</v>
      </c>
      <c r="F129" s="85">
        <f>+IF(C139=8,0,D139)+IF(C140=8,0,D140)+IF(C148=8,0,D148)</f>
        <v>0</v>
      </c>
      <c r="G129" s="126" t="s">
        <v>739</v>
      </c>
      <c r="H129" s="91"/>
      <c r="I129" s="114"/>
      <c r="P129" s="120"/>
      <c r="Q129" s="84">
        <v>3400</v>
      </c>
      <c r="R129" s="122" t="e">
        <f>IF(AND(R118=3000,Q119="",Q123="",R130=""),3400,"")</f>
        <v>#REF!</v>
      </c>
      <c r="S129" s="121"/>
      <c r="T129" s="103"/>
      <c r="U129" s="120" t="s">
        <v>738</v>
      </c>
      <c r="X129" s="119"/>
    </row>
    <row r="130" spans="2:24" ht="12.75">
      <c r="B130" s="99">
        <v>62</v>
      </c>
      <c r="C130" s="86">
        <f>IF(ISERROR(VLOOKUP(B130,B76:E98,2,FALSE)),0,(VLOOKUP(B130,B76:E98,2,FALSE)))</f>
        <v>0</v>
      </c>
      <c r="D130" s="92">
        <f>IF(ISERROR(VLOOKUP(B130,B76:D98,3,FALSE)),0,(VLOOKUP(B130,B76:D98,3,FALSE)))</f>
        <v>0</v>
      </c>
      <c r="E130" s="85">
        <f>IF(ISERROR(VLOOKUP(B130,B76:E98,4,FALSE)),0,(VLOOKUP(B130,B76:E98,4,FALSE)))</f>
        <v>0</v>
      </c>
      <c r="F130" s="85">
        <f>D150</f>
        <v>0</v>
      </c>
      <c r="G130" s="115">
        <v>103</v>
      </c>
      <c r="H130" s="91"/>
      <c r="I130" s="114"/>
      <c r="P130" s="120"/>
      <c r="Q130" s="84">
        <v>3300</v>
      </c>
      <c r="R130" s="122"/>
      <c r="S130" s="121"/>
      <c r="U130" s="115" t="s">
        <v>737</v>
      </c>
      <c r="V130" s="91"/>
      <c r="W130" s="91"/>
      <c r="X130" s="114"/>
    </row>
    <row r="131" spans="2:24" ht="12.75">
      <c r="B131" s="99">
        <v>63</v>
      </c>
      <c r="C131" s="86">
        <f>IF(ISERROR(VLOOKUP(B131,B76:E98,2,FALSE)),0,(VLOOKUP(B131,B76:E98,2,FALSE)))</f>
        <v>0</v>
      </c>
      <c r="D131" s="92">
        <f>IF(ISERROR(VLOOKUP(B131,B76:D98,3,FALSE)),0,(VLOOKUP(B131,B76:D98,3,FALSE)))</f>
        <v>0</v>
      </c>
      <c r="E131" s="85">
        <f>IF(ISERROR(VLOOKUP(B131,B76:E98,4,FALSE)),0,(VLOOKUP(B131,B76:E98,4,FALSE)))</f>
        <v>0</v>
      </c>
      <c r="F131" s="85">
        <v>0</v>
      </c>
      <c r="G131" s="115">
        <v>102</v>
      </c>
      <c r="H131" s="91"/>
      <c r="I131" s="114"/>
      <c r="P131" s="120"/>
      <c r="Q131" s="84">
        <v>4000</v>
      </c>
      <c r="R131" s="122" t="e">
        <f>IF(N18&gt;66.667,4000,"")</f>
        <v>#REF!</v>
      </c>
      <c r="S131" s="121"/>
      <c r="U131" s="125" t="s">
        <v>736</v>
      </c>
      <c r="V131" s="96"/>
      <c r="W131" s="96"/>
      <c r="X131" s="124"/>
    </row>
    <row r="132" spans="2:24" ht="12.75">
      <c r="B132" s="99">
        <v>64</v>
      </c>
      <c r="C132" s="86">
        <f>IF(ISERROR(VLOOKUP(B132,B76:E98,2,FALSE)),0,(VLOOKUP(B132,B76:E98,2,FALSE)))</f>
        <v>0</v>
      </c>
      <c r="D132" s="92">
        <f>IF(ISERROR(VLOOKUP(B132,B76:D98,3,FALSE)),0,(VLOOKUP(B132,B76:D98,3,FALSE)))</f>
        <v>0</v>
      </c>
      <c r="E132" s="85">
        <f>IF(ISERROR(VLOOKUP(B132,B76:E98,4,FALSE)),0,(VLOOKUP(B132,B76:E98,4,FALSE)))</f>
        <v>0</v>
      </c>
      <c r="F132" s="85">
        <f>SUM(F155:F191)</f>
        <v>0</v>
      </c>
      <c r="G132" s="126" t="s">
        <v>735</v>
      </c>
      <c r="H132" s="91"/>
      <c r="I132" s="114"/>
      <c r="P132" s="120"/>
      <c r="Q132" s="84">
        <v>4100</v>
      </c>
      <c r="R132" s="122" t="e">
        <f>IF(AND(N21&gt;66.667,N51&gt;(N21*2/3)),4100,"")</f>
        <v>#REF!</v>
      </c>
      <c r="S132" s="121"/>
      <c r="U132" s="120" t="s">
        <v>734</v>
      </c>
      <c r="X132" s="119"/>
    </row>
    <row r="133" spans="2:24" ht="12.75">
      <c r="B133" s="99">
        <v>65</v>
      </c>
      <c r="C133" s="86">
        <f>IF(ISERROR(VLOOKUP(B133,B77:E99,2,FALSE)),0,(VLOOKUP(B133,B77:E99,2,FALSE)))</f>
        <v>0</v>
      </c>
      <c r="D133" s="92">
        <f>IF(ISERROR(VLOOKUP(B133,B77:D99,3,FALSE)),0,(VLOOKUP(B133,B77:D99,3,FALSE)))</f>
        <v>0</v>
      </c>
      <c r="E133" s="85">
        <f>IF(ISERROR(VLOOKUP(B133,B77:E99,4,FALSE)),0,(VLOOKUP(B133,B77:E99,4,FALSE)))</f>
        <v>0</v>
      </c>
      <c r="F133" s="85"/>
      <c r="G133" s="126"/>
      <c r="H133" s="91"/>
      <c r="I133" s="114"/>
      <c r="P133" s="120"/>
      <c r="Q133" s="84">
        <v>4200</v>
      </c>
      <c r="R133" s="122" t="e">
        <f>IF(AND(N22&gt;66.667,N51&lt;=0.2),4200,"")</f>
        <v>#REF!</v>
      </c>
      <c r="S133" s="121"/>
      <c r="U133" s="120" t="s">
        <v>733</v>
      </c>
      <c r="X133" s="119"/>
    </row>
    <row r="134" spans="2:24" ht="12.75">
      <c r="B134" s="99">
        <v>71</v>
      </c>
      <c r="C134" s="86">
        <f>IF(ISERROR(VLOOKUP(B134,B76:E98,2,FALSE)),0,(VLOOKUP(B134,B76:E98,2,FALSE)))</f>
        <v>0</v>
      </c>
      <c r="D134" s="92">
        <f>IF(ISERROR(VLOOKUP(B134,B76:D98,3,FALSE)),0,(VLOOKUP(B134,B76:D98,3,FALSE)))</f>
        <v>0</v>
      </c>
      <c r="E134" s="85">
        <f>IF(ISERROR(VLOOKUP(B134,B76:E98,4,FALSE)),0,(VLOOKUP(B134,B76:E98,4,FALSE)))</f>
        <v>0</v>
      </c>
      <c r="F134" s="85">
        <f>IF(AND(C153=4,F153&gt;0),F153,0)</f>
        <v>0</v>
      </c>
      <c r="G134" s="126" t="s">
        <v>732</v>
      </c>
      <c r="H134" s="91"/>
      <c r="I134" s="114"/>
      <c r="P134" s="120"/>
      <c r="Q134" s="84">
        <v>4300</v>
      </c>
      <c r="R134" s="122" t="e">
        <f>IF(AND(N22&gt;66.667,N51&lt;=0.2,R132=""),4300,"")</f>
        <v>#REF!</v>
      </c>
      <c r="S134" s="121"/>
      <c r="U134" s="120" t="s">
        <v>731</v>
      </c>
      <c r="X134" s="119"/>
    </row>
    <row r="135" spans="2:24" ht="12.75">
      <c r="B135" s="99">
        <v>72</v>
      </c>
      <c r="C135" s="86">
        <f>IF(ISERROR(VLOOKUP(B135,B76:E98,2,FALSE)),0,(VLOOKUP(B135,B76:E98,2,FALSE)))</f>
        <v>0</v>
      </c>
      <c r="D135" s="92">
        <f>IF(ISERROR(VLOOKUP(B135,B76:D98,3,FALSE)),0,(VLOOKUP(B135,B76:D98,3,FALSE)))</f>
        <v>0</v>
      </c>
      <c r="E135" s="85">
        <f>IF(ISERROR(VLOOKUP(B135,B76:E98,4,FALSE)),0,(VLOOKUP(B135,B76:E98,4,FALSE)))</f>
        <v>0</v>
      </c>
      <c r="F135" s="85">
        <f>IF(AND(C154=5,F154&gt;0),F154,0)</f>
        <v>0</v>
      </c>
      <c r="G135" s="126" t="s">
        <v>730</v>
      </c>
      <c r="H135" s="91"/>
      <c r="I135" s="114"/>
      <c r="P135" s="120"/>
      <c r="Q135" s="84">
        <v>4400</v>
      </c>
      <c r="R135" s="122" t="e">
        <f>IF(AND(N18&gt;66.667,N22&lt;=66.667),4400,"")</f>
        <v>#REF!</v>
      </c>
      <c r="S135" s="121"/>
      <c r="U135" s="120" t="s">
        <v>729</v>
      </c>
      <c r="X135" s="119"/>
    </row>
    <row r="136" spans="2:24" ht="12.75">
      <c r="B136" s="99">
        <v>73</v>
      </c>
      <c r="C136" s="86">
        <f>IF(ISERROR(VLOOKUP(B136,B76:E98,2,FALSE)),0,(VLOOKUP(B136,B76:E98,2,FALSE)))</f>
        <v>0</v>
      </c>
      <c r="D136" s="92">
        <f>IF(ISERROR(VLOOKUP(B136,B76:D98,3,FALSE)),0,(VLOOKUP(B136,B76:D98,3,FALSE)))</f>
        <v>0</v>
      </c>
      <c r="E136" s="85">
        <f>IF(ISERROR(VLOOKUP(B136,B76:E98,4,FALSE)),0,(VLOOKUP(B136,B76:E98,4,FALSE)))</f>
        <v>0</v>
      </c>
      <c r="F136" s="85">
        <f>IF(AND(C194=4,E194&gt;0),E194,0)</f>
        <v>0</v>
      </c>
      <c r="G136" s="126" t="s">
        <v>728</v>
      </c>
      <c r="H136" s="91"/>
      <c r="I136" s="114"/>
      <c r="P136" s="120"/>
      <c r="Q136" s="84">
        <v>4440</v>
      </c>
      <c r="R136" s="122" t="e">
        <f>IF(AND(R135=4400,R53="",R66="",R75="",R58="",R67="",R76="",R59="",R68="",R77=""),4440,"")</f>
        <v>#REF!</v>
      </c>
      <c r="S136" s="121"/>
      <c r="U136" s="115" t="s">
        <v>727</v>
      </c>
      <c r="V136" s="91"/>
      <c r="W136" s="91"/>
      <c r="X136" s="114"/>
    </row>
    <row r="137" spans="2:24" ht="12.75">
      <c r="B137" s="99">
        <v>74</v>
      </c>
      <c r="C137" s="86">
        <f>IF(ISERROR(VLOOKUP(B137,B76:E98,2,FALSE)),0,(VLOOKUP(B137,B76:E98,2,FALSE)))</f>
        <v>0</v>
      </c>
      <c r="D137" s="92">
        <f>IF(ISERROR(VLOOKUP(B137,B76:D98,3,FALSE)),0,(VLOOKUP(B137,B76:D98,3,FALSE)))</f>
        <v>0</v>
      </c>
      <c r="E137" s="85">
        <f>IF(ISERROR(VLOOKUP(B137,B76:E98,4,FALSE)),0,(VLOOKUP(B137,B76:E98,4,FALSE)))</f>
        <v>0</v>
      </c>
      <c r="F137" s="85">
        <f>IF(AND(C195=5,E195&gt;0),E195,0)</f>
        <v>0</v>
      </c>
      <c r="G137" s="126" t="s">
        <v>726</v>
      </c>
      <c r="H137" s="91"/>
      <c r="I137" s="114"/>
      <c r="P137" s="120"/>
      <c r="Q137" s="84">
        <v>5000</v>
      </c>
      <c r="R137" s="122" t="e">
        <f>IF(N19&gt;66.667,5000,"")</f>
        <v>#REF!</v>
      </c>
      <c r="S137" s="121"/>
      <c r="U137" s="125" t="s">
        <v>725</v>
      </c>
      <c r="V137" s="96"/>
      <c r="W137" s="96"/>
      <c r="X137" s="124"/>
    </row>
    <row r="138" spans="2:24" ht="12.75">
      <c r="B138" s="99">
        <v>81</v>
      </c>
      <c r="C138" s="86">
        <f>IF(ISERROR(VLOOKUP(B138,B76:E98,2,FALSE)),0,(VLOOKUP(B138,B76:E98,2,FALSE)))</f>
        <v>0</v>
      </c>
      <c r="D138" s="92">
        <f>IF(ISERROR(VLOOKUP(B138,B76:D98,3,FALSE)),0,(VLOOKUP(B138,B76:D98,3,FALSE)))</f>
        <v>0</v>
      </c>
      <c r="E138" s="85">
        <f>IF(ISERROR(VLOOKUP(B138,B76:E98,4,FALSE)),0,(VLOOKUP(B138,B76:E98,4,FALSE)))</f>
        <v>0</v>
      </c>
      <c r="F138" s="85">
        <f>D151+D196+D192</f>
        <v>0</v>
      </c>
      <c r="G138" s="126" t="s">
        <v>724</v>
      </c>
      <c r="H138" s="91"/>
      <c r="I138" s="114"/>
      <c r="P138" s="120"/>
      <c r="Q138" s="84">
        <v>5010</v>
      </c>
      <c r="R138" s="122" t="e">
        <f>IF(N23&gt;66.667,5010,"")</f>
        <v>#REF!</v>
      </c>
      <c r="S138" s="121"/>
      <c r="U138" s="120" t="s">
        <v>723</v>
      </c>
      <c r="X138" s="119"/>
    </row>
    <row r="139" spans="2:24" ht="12.75">
      <c r="B139" s="99">
        <v>93</v>
      </c>
      <c r="C139" s="86">
        <f>IF(ISERROR(VLOOKUP(B139,B76:E98,2,FALSE)),0,(VLOOKUP(B139,B76:E98,2,FALSE)))</f>
        <v>0</v>
      </c>
      <c r="D139" s="92">
        <f>IF(ISERROR(VLOOKUP(B139,B76:D98,3,FALSE)),0,(VLOOKUP(B139,B76:D98,3,FALSE)))</f>
        <v>0</v>
      </c>
      <c r="E139" s="85">
        <f>IF(ISERROR(VLOOKUP(B139,B76:E98,4,FALSE)),0,(VLOOKUP(B139,B76:E98,4,FALSE)))</f>
        <v>0</v>
      </c>
      <c r="F139" s="85">
        <f>D152+D101</f>
        <v>0</v>
      </c>
      <c r="G139" s="126" t="s">
        <v>722</v>
      </c>
      <c r="H139" s="91"/>
      <c r="I139" s="114"/>
      <c r="P139" s="120"/>
      <c r="Q139" s="84">
        <v>5020</v>
      </c>
      <c r="R139" s="122" t="e">
        <f>IF(N24&gt;66.667,5020,"")</f>
        <v>#REF!</v>
      </c>
      <c r="S139" s="121"/>
      <c r="U139" s="120" t="s">
        <v>721</v>
      </c>
      <c r="X139" s="119"/>
    </row>
    <row r="140" spans="2:24" ht="12.75">
      <c r="B140" s="99">
        <v>94</v>
      </c>
      <c r="C140" s="86">
        <f>IF(ISERROR(VLOOKUP(B140,B76:E98,2,FALSE)),0,(VLOOKUP(B140,B76:E98,2,FALSE)))</f>
        <v>0</v>
      </c>
      <c r="D140" s="92">
        <f>IF(ISERROR(VLOOKUP(B140,B76:D98,3,FALSE)),0,(VLOOKUP(B140,B76:D98,3,FALSE)))</f>
        <v>0</v>
      </c>
      <c r="E140" s="85">
        <f>IF(ISERROR(VLOOKUP(B140,B76:E98,4,FALSE)),0,(VLOOKUP(B140,B76:E98,4,FALSE)))</f>
        <v>0</v>
      </c>
      <c r="F140" s="85">
        <f>(SUM(D197:D209)+SUM(D211:D217))+(SUM(E197:E209)+SUM(E211:E217))</f>
        <v>0</v>
      </c>
      <c r="G140" s="126" t="s">
        <v>720</v>
      </c>
      <c r="H140" s="91"/>
      <c r="I140" s="114"/>
      <c r="P140" s="120"/>
      <c r="Q140" s="84">
        <v>5030</v>
      </c>
      <c r="R140" s="122" t="e">
        <f>IF(AND(R137=5000,R138="",R139=""),5030,"")</f>
        <v>#REF!</v>
      </c>
      <c r="S140" s="121"/>
      <c r="U140" s="115" t="s">
        <v>719</v>
      </c>
      <c r="V140" s="91"/>
      <c r="W140" s="91"/>
      <c r="X140" s="114"/>
    </row>
    <row r="141" spans="2:24" ht="12.75">
      <c r="B141" s="99">
        <v>91</v>
      </c>
      <c r="C141" s="86">
        <f>IF(ISERROR(VLOOKUP(B141,B76:E98,2,FALSE)),0,(VLOOKUP(B141,B76:E98,2,FALSE)))</f>
        <v>0</v>
      </c>
      <c r="D141" s="92">
        <f>IF(ISERROR(VLOOKUP(B141,B76:D98,3,FALSE)),0,(VLOOKUP(B141,B76:D98,3,FALSE)))</f>
        <v>0</v>
      </c>
      <c r="E141" s="85">
        <f>IF(ISERROR(VLOOKUP(B141,B76:E98,4,FALSE)),0,(VLOOKUP(B141,B76:E98,4,FALSE)))</f>
        <v>0</v>
      </c>
      <c r="F141" s="85">
        <f>D210+E210</f>
        <v>0</v>
      </c>
      <c r="G141" s="115" t="s">
        <v>718</v>
      </c>
      <c r="H141" s="91"/>
      <c r="I141" s="114"/>
      <c r="P141" s="120"/>
      <c r="Q141" s="84">
        <v>6000</v>
      </c>
      <c r="R141" s="122" t="e">
        <f>IF(OR(AND(N15&gt;33.333,N15&lt;=66.667,N18&lt;=33.333,N19&lt;=33.333),AND(N16&gt;33.333,N16&lt;=66.667,N18&lt;=33.333,N19&lt;=33.333),AND(N17&gt;33.333,N17&lt;=66.667,N18&lt;=33.333,N19&lt;=33.333)),6000,"")</f>
        <v>#REF!</v>
      </c>
      <c r="S141" s="119"/>
      <c r="U141" s="125" t="s">
        <v>717</v>
      </c>
      <c r="V141" s="96"/>
      <c r="W141" s="96"/>
      <c r="X141" s="124"/>
    </row>
    <row r="142" spans="2:24" ht="12.75">
      <c r="B142" s="99">
        <v>95</v>
      </c>
      <c r="C142" s="86">
        <f>IF(ISERROR(VLOOKUP(B142,B76:E98,2,FALSE)),0,(VLOOKUP(B142,B76:E98,2,FALSE)))</f>
        <v>0</v>
      </c>
      <c r="D142" s="92">
        <f>IF(ISERROR(VLOOKUP(B142,B76:D98,3,FALSE)),0,(VLOOKUP(B142,B76:D98,3,FALSE)))</f>
        <v>0</v>
      </c>
      <c r="E142" s="85">
        <f>IF(ISERROR(VLOOKUP(B142,B76:E98,4,FALSE)),0,(VLOOKUP(B142,B76:E98,4,FALSE)))</f>
        <v>0</v>
      </c>
      <c r="F142" s="85">
        <f>D218+D219+E218+E219</f>
        <v>0</v>
      </c>
      <c r="G142" s="126" t="s">
        <v>716</v>
      </c>
      <c r="H142" s="91"/>
      <c r="I142" s="114"/>
      <c r="P142" s="120"/>
      <c r="Q142" s="84">
        <v>6050</v>
      </c>
      <c r="R142" s="122" t="e">
        <f>IF(AND(N15&gt;33.333,N15&lt;=66.667,N16&lt;=33.333,N17&lt;=33.333,N18&lt;=33.333,N19&lt;=33.333),6050,"")</f>
        <v>#REF!</v>
      </c>
      <c r="S142" s="121"/>
      <c r="U142" s="120" t="s">
        <v>715</v>
      </c>
      <c r="X142" s="119"/>
    </row>
    <row r="143" spans="2:24" ht="12.75">
      <c r="B143" s="99">
        <v>96</v>
      </c>
      <c r="C143" s="86">
        <f>IF(ISERROR(VLOOKUP(B143,B76:E98,2,FALSE)),0,(VLOOKUP(B143,B76:E98,2,FALSE)))</f>
        <v>0</v>
      </c>
      <c r="D143" s="92">
        <f>IF(ISERROR(VLOOKUP(B143,B76:D98,3,FALSE)),0,(VLOOKUP(B143,B76:D98,3,FALSE)))</f>
        <v>0</v>
      </c>
      <c r="E143" s="85">
        <f>IF(ISERROR(VLOOKUP(B143,B76:E98,4,FALSE)),0,(VLOOKUP(B143,B76:E98,4,FALSE)))</f>
        <v>0</v>
      </c>
      <c r="F143" s="85">
        <f>D193+E193</f>
        <v>0</v>
      </c>
      <c r="G143" s="126" t="s">
        <v>714</v>
      </c>
      <c r="H143" s="91"/>
      <c r="I143" s="114"/>
      <c r="P143" s="120"/>
      <c r="Q143" s="84">
        <v>6061</v>
      </c>
      <c r="R143" s="122" t="e">
        <f>IF(AND(N15&lt;=33.333,N16&gt;33.333,N16&lt;=66.667,N17&lt;=33.333,N18&lt;=33.333,N19&lt;=33.333),6061,"")</f>
        <v>#REF!</v>
      </c>
      <c r="S143" s="121"/>
      <c r="U143" s="120" t="s">
        <v>713</v>
      </c>
      <c r="X143" s="119"/>
    </row>
    <row r="144" spans="2:24" ht="12.75">
      <c r="B144" s="99">
        <v>97</v>
      </c>
      <c r="C144" s="86">
        <f>IF(ISERROR(VLOOKUP(B144,B76:E98,2,FALSE)),0,(VLOOKUP(B144,B76:E98,2,FALSE)))</f>
        <v>0</v>
      </c>
      <c r="D144" s="92">
        <f>IF(ISERROR(VLOOKUP(B144,B76:D98,3,FALSE)),0,(VLOOKUP(B144,B76:D98,3,FALSE)))</f>
        <v>0</v>
      </c>
      <c r="E144" s="85">
        <f>IF(ISERROR(VLOOKUP(B144,B76:E98,4,FALSE)),0,(VLOOKUP(B144,B76:E98,4,FALSE)))</f>
        <v>0</v>
      </c>
      <c r="F144" s="85">
        <f>D99</f>
        <v>0</v>
      </c>
      <c r="G144" s="126" t="s">
        <v>712</v>
      </c>
      <c r="H144" s="91"/>
      <c r="I144" s="114"/>
      <c r="P144" s="120"/>
      <c r="Q144" s="84">
        <v>6062</v>
      </c>
      <c r="R144" s="122" t="e">
        <f>IF(AND(N15&lt;=33.333,N16&lt;=33.333,N17&gt;33.333,N17&lt;=66.667,N18&lt;=33.333,N19&lt;=33.333),6062,"")</f>
        <v>#REF!</v>
      </c>
      <c r="S144" s="121"/>
      <c r="U144" s="120" t="s">
        <v>711</v>
      </c>
      <c r="V144" s="91"/>
      <c r="W144" s="91"/>
      <c r="X144" s="114"/>
    </row>
    <row r="145" spans="2:24" ht="12.75">
      <c r="B145" s="99">
        <v>98</v>
      </c>
      <c r="C145" s="86">
        <f>IF(ISERROR(VLOOKUP(B145,B76:E98,2,FALSE)),0,(VLOOKUP(B145,B76:E98,2,FALSE)))</f>
        <v>0</v>
      </c>
      <c r="D145" s="92">
        <f>IF(ISERROR(VLOOKUP(B145,B76:D98,3,FALSE)),0,(VLOOKUP(B145,B76:D98,3,FALSE)))</f>
        <v>0</v>
      </c>
      <c r="E145" s="85">
        <f>IF(ISERROR(VLOOKUP(B145,B76:E98,4,FALSE)),0,(VLOOKUP(B145,B76:E98,4,FALSE)))</f>
        <v>0</v>
      </c>
      <c r="F145" s="85">
        <f>D220</f>
        <v>0</v>
      </c>
      <c r="G145" s="115">
        <v>126</v>
      </c>
      <c r="H145" s="91"/>
      <c r="I145" s="114"/>
      <c r="P145" s="120"/>
      <c r="Q145" s="84">
        <v>7000</v>
      </c>
      <c r="R145" s="122" t="e">
        <f>IF(OR(AND(N18&gt;33.333,N18&lt;=66.667,N15&lt;=33.333,N16&lt;=33.333,N17&lt;=33.333),AND(N19&gt;33.333,N19&lt;=66.667,N15&lt;=33.333,N16&lt;=33.333,N17&lt;=33.333)),7000,"")</f>
        <v>#REF!</v>
      </c>
      <c r="S145" s="121"/>
      <c r="U145" s="125" t="s">
        <v>710</v>
      </c>
      <c r="V145" s="96"/>
      <c r="W145" s="96"/>
      <c r="X145" s="124"/>
    </row>
    <row r="146" spans="2:24" ht="12.75">
      <c r="B146" s="99">
        <v>92</v>
      </c>
      <c r="C146" s="86">
        <f>IF(ISERROR(VLOOKUP(B146,B76:E98,2,FALSE)),0,(VLOOKUP(B146,B76:E98,2,FALSE)))</f>
        <v>0</v>
      </c>
      <c r="D146" s="92">
        <f>IF(ISERROR(VLOOKUP(B146,B76:D98,3,FALSE)),0,(VLOOKUP(B146,B76:D98,3,FALSE)))</f>
        <v>0</v>
      </c>
      <c r="E146" s="85">
        <f>IF(ISERROR(VLOOKUP(B146,B76:E98,4,FALSE)),0,(VLOOKUP(B146,B76:E98,4,FALSE)))</f>
        <v>0</v>
      </c>
      <c r="G146" s="84" t="s">
        <v>709</v>
      </c>
      <c r="P146" s="120"/>
      <c r="Q146" s="84">
        <v>7100</v>
      </c>
      <c r="R146" s="122" t="e">
        <f>IF(AND(N18&gt;33.333,N18&lt;=66.667,N15&lt;=33.333,N17&lt;=33.333,N19&lt;=33.333),7100,"")</f>
        <v>#REF!</v>
      </c>
      <c r="S146" s="121"/>
      <c r="U146" s="120" t="s">
        <v>708</v>
      </c>
      <c r="X146" s="119"/>
    </row>
    <row r="147" spans="2:24" ht="12.75">
      <c r="B147" s="99">
        <v>99</v>
      </c>
      <c r="C147" s="86">
        <f>IF(ISERROR(VLOOKUP(B147,B77:E99,2,FALSE)),0,(VLOOKUP(B147,B77:E99,2,FALSE)))</f>
        <v>0</v>
      </c>
      <c r="D147" s="92">
        <f>IF(ISERROR(VLOOKUP(B147,B77:D99,3,FALSE)),0,(VLOOKUP(B147,B77:D99,3,FALSE)))</f>
        <v>0</v>
      </c>
      <c r="E147" s="85">
        <f>IF(ISERROR(VLOOKUP(B147,B77:E99,4,FALSE)),0,(VLOOKUP(B147,B77:E99,4,FALSE)))</f>
        <v>0</v>
      </c>
      <c r="P147" s="120"/>
      <c r="Q147" s="84">
        <v>7120</v>
      </c>
      <c r="R147" s="122" t="e">
        <f>IF(AND(R146=7100,R89=""),7120,"")</f>
        <v>#REF!</v>
      </c>
      <c r="S147" s="121"/>
      <c r="U147" s="120" t="s">
        <v>707</v>
      </c>
      <c r="X147" s="119"/>
    </row>
    <row r="148" spans="2:24" ht="12.75">
      <c r="B148" s="99">
        <v>100</v>
      </c>
      <c r="C148" s="86">
        <f>IF(ISERROR(VLOOKUP(B148,B76:E98,2,FALSE)),0,(VLOOKUP(B148,B76:E98,2,FALSE)))</f>
        <v>0</v>
      </c>
      <c r="D148" s="92">
        <f>IF(ISERROR(VLOOKUP(B148,B76:D98,3,FALSE)),0,(VLOOKUP(B148,B76:D98,3,FALSE)))</f>
        <v>0</v>
      </c>
      <c r="E148" s="85">
        <f>IF(ISERROR(VLOOKUP(B148,B76:E98,4,FALSE)),0,(VLOOKUP(B148,B76:E98,4,FALSE)))</f>
        <v>0</v>
      </c>
      <c r="G148" s="123" t="s">
        <v>706</v>
      </c>
      <c r="P148" s="120"/>
      <c r="Q148" s="84">
        <v>7200</v>
      </c>
      <c r="R148" s="122" t="e">
        <f>IF(AND(N19&gt;33.333,N19&lt;=66.667,N15&lt;=33.333,N16&lt;=33.333,N17&lt;=33.333),7200,"")</f>
        <v>#REF!</v>
      </c>
      <c r="S148" s="121"/>
      <c r="U148" s="115" t="s">
        <v>705</v>
      </c>
      <c r="V148" s="91"/>
      <c r="W148" s="91"/>
      <c r="X148" s="114"/>
    </row>
    <row r="149" spans="2:24" ht="12.75">
      <c r="B149" s="99">
        <v>101</v>
      </c>
      <c r="C149" s="86">
        <f>IF(ISERROR(VLOOKUP(B149,B76:E98,2,FALSE)),0,(VLOOKUP(B149,B76:E98,2,FALSE)))</f>
        <v>0</v>
      </c>
      <c r="D149" s="92">
        <f>IF(ISERROR(VLOOKUP(B149,B76:D98,3,FALSE)),0,(VLOOKUP(B149,B76:D98,3,FALSE)))</f>
        <v>0</v>
      </c>
      <c r="E149" s="85">
        <f>IF(ISERROR(VLOOKUP(B149,B76:E98,4,FALSE)),0,(VLOOKUP(B149,B76:E98,4,FALSE)))</f>
        <v>0</v>
      </c>
      <c r="G149" s="123" t="s">
        <v>704</v>
      </c>
      <c r="P149" s="120"/>
      <c r="Q149" s="84">
        <v>8000</v>
      </c>
      <c r="R149" s="122" t="e">
        <f>+IF(AND(J68&gt;0,R106="",R114="",R118="",R131="",R137="",R141="",R145=""),8000,"")</f>
        <v>#REF!</v>
      </c>
      <c r="S149" s="121"/>
      <c r="U149" s="125" t="s">
        <v>703</v>
      </c>
      <c r="V149" s="96"/>
      <c r="W149" s="96"/>
      <c r="X149" s="124"/>
    </row>
    <row r="150" spans="2:24" ht="12.75">
      <c r="B150" s="99">
        <v>103</v>
      </c>
      <c r="C150" s="86">
        <f>IF(ISERROR(VLOOKUP(B150,B76:E98,2,FALSE)),0,(VLOOKUP(B150,B76:E98,2,FALSE)))</f>
        <v>0</v>
      </c>
      <c r="D150" s="92">
        <f>IF(ISERROR(VLOOKUP(B150,B76:D98,3,FALSE)),0,(VLOOKUP(B150,B76:D98,3,FALSE)))</f>
        <v>0</v>
      </c>
      <c r="E150" s="85">
        <f>IF(ISERROR(VLOOKUP(B150,B76:E98,4,FALSE)),0,(VLOOKUP(B150,B76:E98,4,FALSE)))</f>
        <v>0</v>
      </c>
      <c r="G150" s="123" t="s">
        <v>702</v>
      </c>
      <c r="P150" s="120"/>
      <c r="Q150" s="84">
        <v>8100</v>
      </c>
      <c r="R150" s="122" t="e">
        <f>IF(AND(N15&gt;33.333,N18&gt;33.333,R149=8000),8100,"")</f>
        <v>#REF!</v>
      </c>
      <c r="S150" s="121"/>
      <c r="U150" s="120" t="s">
        <v>701</v>
      </c>
      <c r="X150" s="119"/>
    </row>
    <row r="151" spans="2:24" ht="12.75">
      <c r="B151" s="99">
        <v>104</v>
      </c>
      <c r="C151" s="86">
        <f>IF(ISERROR(VLOOKUP(B151,B76:E98,2,FALSE)),0,(VLOOKUP(B151,B76:E98,2,FALSE)))</f>
        <v>0</v>
      </c>
      <c r="D151" s="92">
        <f>IF(ISERROR(VLOOKUP(B151,B76:D98,3,FALSE)),0,(VLOOKUP(B151,B76:D98,3,FALSE)))</f>
        <v>0</v>
      </c>
      <c r="E151" s="85">
        <f>IF(ISERROR(VLOOKUP(B151,B76:E98,4,FALSE)),0,(VLOOKUP(B151,B76:E98,4,FALSE)))</f>
        <v>0</v>
      </c>
      <c r="P151" s="120"/>
      <c r="Q151" s="84">
        <v>8130</v>
      </c>
      <c r="R151" s="122" t="e">
        <f>IF(AND(N15&gt;33.333,N18&gt;33.333,N15&gt;N18,R78=""),8130,"")</f>
        <v>#REF!</v>
      </c>
      <c r="S151" s="121"/>
      <c r="U151" s="120" t="s">
        <v>700</v>
      </c>
      <c r="X151" s="119"/>
    </row>
    <row r="152" spans="2:24" ht="12.75">
      <c r="B152" s="99">
        <v>106</v>
      </c>
      <c r="C152" s="86">
        <f>IF(ISERROR(VLOOKUP(B152,B76:E98,2,FALSE)),0,(VLOOKUP(B152,B76:E98,2,FALSE)))</f>
        <v>0</v>
      </c>
      <c r="D152" s="92">
        <f>IF(ISERROR(VLOOKUP(B152,B76:D98,3,FALSE)),0,(VLOOKUP(B152,B76:D98,3,FALSE)))</f>
        <v>0</v>
      </c>
      <c r="E152" s="85">
        <f>IF(ISERROR(VLOOKUP(B152,B76:E98,4,FALSE)),0,(VLOOKUP(B152,B76:E98,4,FALSE)))</f>
        <v>0</v>
      </c>
      <c r="P152" s="120"/>
      <c r="Q152" s="84">
        <v>8140</v>
      </c>
      <c r="R152" s="122" t="e">
        <f>IF(AND(N18&gt;33.333,N15&gt;33.333,N18&gt;N15,R78="",R79=""),8140,"")</f>
        <v>#REF!</v>
      </c>
      <c r="S152" s="121"/>
      <c r="U152" s="120" t="s">
        <v>699</v>
      </c>
      <c r="X152" s="119"/>
    </row>
    <row r="153" spans="2:24" ht="12.75">
      <c r="B153" s="106" t="s">
        <v>698</v>
      </c>
      <c r="C153" s="99"/>
      <c r="D153" s="91"/>
      <c r="E153" s="87"/>
      <c r="F153" s="109"/>
      <c r="P153" s="120"/>
      <c r="Q153" s="84">
        <v>8200</v>
      </c>
      <c r="R153" s="122" t="e">
        <f>IF(AND(R149=8000,R150=""),8200,"")</f>
        <v>#REF!</v>
      </c>
      <c r="S153" s="121"/>
      <c r="U153" s="120" t="s">
        <v>697</v>
      </c>
      <c r="X153" s="119"/>
    </row>
    <row r="154" spans="2:24" ht="12.75">
      <c r="B154" s="108" t="s">
        <v>696</v>
      </c>
      <c r="C154" s="98"/>
      <c r="D154" s="92"/>
      <c r="E154" s="85"/>
      <c r="F154" s="107"/>
      <c r="H154" s="118"/>
      <c r="I154" s="118"/>
      <c r="J154" s="118"/>
      <c r="K154" s="118"/>
      <c r="L154" s="118"/>
      <c r="P154" s="120"/>
      <c r="Q154" s="84">
        <v>8231</v>
      </c>
      <c r="R154" s="122" t="str">
        <f>IF(N75&gt;66.667,8231,"")</f>
        <v/>
      </c>
      <c r="S154" s="121"/>
      <c r="U154" s="120" t="s">
        <v>695</v>
      </c>
      <c r="X154" s="119"/>
    </row>
    <row r="155" spans="2:24" ht="12.75">
      <c r="B155" s="99">
        <v>260</v>
      </c>
      <c r="C155" s="86"/>
      <c r="D155" s="92"/>
      <c r="E155" s="85"/>
      <c r="F155" s="109"/>
      <c r="H155" s="118"/>
      <c r="I155" s="118"/>
      <c r="J155" s="118"/>
      <c r="K155" s="118"/>
      <c r="L155" s="118"/>
      <c r="P155" s="115"/>
      <c r="Q155" s="91">
        <v>8232</v>
      </c>
      <c r="R155" s="117" t="e">
        <f>IF(AND(R86=8230,R154=""),8232,"")</f>
        <v>#REF!</v>
      </c>
      <c r="S155" s="116"/>
      <c r="U155" s="115" t="s">
        <v>694</v>
      </c>
      <c r="V155" s="91"/>
      <c r="W155" s="91"/>
      <c r="X155" s="114"/>
    </row>
    <row r="156" spans="2:24" ht="12.75">
      <c r="B156" s="99">
        <v>261</v>
      </c>
      <c r="C156" s="86"/>
      <c r="D156" s="92"/>
      <c r="E156" s="85"/>
      <c r="F156" s="109"/>
      <c r="Q156" s="84" t="s">
        <v>693</v>
      </c>
      <c r="R156" s="84" t="s">
        <v>692</v>
      </c>
    </row>
    <row r="157" spans="2:24" ht="12.75">
      <c r="B157" s="99">
        <v>136</v>
      </c>
      <c r="C157" s="86"/>
      <c r="D157" s="92"/>
      <c r="E157" s="85"/>
      <c r="F157" s="109"/>
      <c r="P157" s="84">
        <v>0</v>
      </c>
      <c r="Q157" s="84">
        <v>0</v>
      </c>
    </row>
    <row r="158" spans="2:24" ht="15">
      <c r="B158" s="99">
        <v>137</v>
      </c>
      <c r="C158" s="86"/>
      <c r="D158" s="92"/>
      <c r="E158" s="85"/>
      <c r="F158" s="109"/>
      <c r="P158" s="112">
        <v>1</v>
      </c>
      <c r="Q158" s="112" t="s">
        <v>691</v>
      </c>
      <c r="R158" s="113" t="s">
        <v>691</v>
      </c>
      <c r="S158"/>
      <c r="T158"/>
      <c r="U158"/>
    </row>
    <row r="159" spans="2:24" ht="15">
      <c r="B159" s="99">
        <v>256</v>
      </c>
      <c r="C159" s="86"/>
      <c r="D159" s="92"/>
      <c r="E159" s="85"/>
      <c r="F159" s="109"/>
      <c r="P159" s="112">
        <v>2</v>
      </c>
      <c r="Q159" s="112" t="s">
        <v>690</v>
      </c>
      <c r="R159" s="113" t="s">
        <v>690</v>
      </c>
      <c r="S159"/>
      <c r="T159"/>
      <c r="U159"/>
    </row>
    <row r="160" spans="2:24" ht="15">
      <c r="B160" s="99">
        <v>140</v>
      </c>
      <c r="C160" s="86"/>
      <c r="D160" s="92"/>
      <c r="E160" s="85"/>
      <c r="F160" s="109"/>
      <c r="P160" s="112">
        <v>3</v>
      </c>
      <c r="Q160" s="112" t="s">
        <v>689</v>
      </c>
      <c r="R160" s="113" t="s">
        <v>689</v>
      </c>
      <c r="S160"/>
      <c r="T160"/>
      <c r="U160"/>
    </row>
    <row r="161" spans="2:21" ht="15">
      <c r="B161" s="99">
        <v>255</v>
      </c>
      <c r="C161" s="86"/>
      <c r="D161" s="92"/>
      <c r="E161" s="85"/>
      <c r="F161" s="109"/>
      <c r="P161" s="112">
        <v>4</v>
      </c>
      <c r="Q161" s="112" t="s">
        <v>688</v>
      </c>
      <c r="R161" s="113" t="s">
        <v>687</v>
      </c>
      <c r="S161"/>
      <c r="T161"/>
      <c r="U161"/>
    </row>
    <row r="162" spans="2:21" ht="15">
      <c r="B162" s="99">
        <v>253</v>
      </c>
      <c r="C162" s="86"/>
      <c r="D162" s="92"/>
      <c r="E162" s="85"/>
      <c r="F162" s="109"/>
      <c r="P162" s="112">
        <v>5</v>
      </c>
      <c r="Q162" s="112" t="s">
        <v>686</v>
      </c>
      <c r="R162" s="113" t="s">
        <v>685</v>
      </c>
      <c r="S162"/>
      <c r="T162"/>
      <c r="U162"/>
    </row>
    <row r="163" spans="2:21" ht="15">
      <c r="B163" s="99">
        <v>254</v>
      </c>
      <c r="C163" s="86"/>
      <c r="D163" s="92"/>
      <c r="E163" s="85"/>
      <c r="F163" s="109"/>
      <c r="P163" s="112">
        <v>6</v>
      </c>
      <c r="Q163" s="112" t="s">
        <v>684</v>
      </c>
      <c r="R163" s="113" t="s">
        <v>684</v>
      </c>
      <c r="S163"/>
      <c r="T163"/>
      <c r="U163"/>
    </row>
    <row r="164" spans="2:21" ht="15">
      <c r="B164" s="99">
        <v>146</v>
      </c>
      <c r="C164" s="86"/>
      <c r="D164" s="92"/>
      <c r="E164" s="85"/>
      <c r="F164" s="109"/>
      <c r="P164" s="112">
        <v>7</v>
      </c>
      <c r="Q164" s="112" t="s">
        <v>683</v>
      </c>
      <c r="R164" s="113" t="s">
        <v>683</v>
      </c>
      <c r="S164"/>
      <c r="T164"/>
      <c r="U164"/>
    </row>
    <row r="165" spans="2:21" ht="15">
      <c r="B165" s="99">
        <v>148</v>
      </c>
      <c r="C165" s="86"/>
      <c r="D165" s="92"/>
      <c r="E165" s="85"/>
      <c r="F165" s="109"/>
      <c r="P165" s="112">
        <v>8</v>
      </c>
      <c r="Q165" s="112" t="s">
        <v>682</v>
      </c>
      <c r="R165" s="113" t="s">
        <v>682</v>
      </c>
      <c r="S165"/>
      <c r="T165"/>
      <c r="U165"/>
    </row>
    <row r="166" spans="2:21" ht="15">
      <c r="B166" s="99">
        <v>150</v>
      </c>
      <c r="C166" s="86"/>
      <c r="D166" s="92"/>
      <c r="E166" s="85"/>
      <c r="F166" s="109"/>
      <c r="P166" s="112">
        <v>9</v>
      </c>
      <c r="Q166" s="112" t="s">
        <v>681</v>
      </c>
      <c r="R166" s="113" t="s">
        <v>680</v>
      </c>
      <c r="S166"/>
      <c r="T166"/>
      <c r="U166"/>
    </row>
    <row r="167" spans="2:21" ht="15">
      <c r="B167" s="99">
        <v>151</v>
      </c>
      <c r="C167" s="86"/>
      <c r="D167" s="92"/>
      <c r="E167" s="85"/>
      <c r="F167" s="109"/>
      <c r="P167" s="112">
        <v>10</v>
      </c>
      <c r="Q167" s="112" t="s">
        <v>679</v>
      </c>
      <c r="R167" s="113" t="s">
        <v>678</v>
      </c>
      <c r="S167"/>
      <c r="T167"/>
      <c r="U167"/>
    </row>
    <row r="168" spans="2:21" ht="15">
      <c r="B168" s="99">
        <v>257</v>
      </c>
      <c r="C168" s="86"/>
      <c r="D168" s="92"/>
      <c r="E168" s="85"/>
      <c r="F168" s="109"/>
      <c r="P168" s="112">
        <v>11</v>
      </c>
      <c r="Q168" s="112" t="s">
        <v>677</v>
      </c>
      <c r="R168" s="113" t="s">
        <v>676</v>
      </c>
      <c r="S168"/>
      <c r="T168"/>
      <c r="U168"/>
    </row>
    <row r="169" spans="2:21" ht="15">
      <c r="B169" s="99">
        <v>258</v>
      </c>
      <c r="C169" s="86"/>
      <c r="D169" s="92"/>
      <c r="E169" s="85"/>
      <c r="F169" s="109"/>
      <c r="P169" s="112">
        <v>12</v>
      </c>
      <c r="Q169" s="112" t="s">
        <v>675</v>
      </c>
      <c r="R169" s="113" t="s">
        <v>674</v>
      </c>
      <c r="S169"/>
      <c r="T169"/>
      <c r="U169"/>
    </row>
    <row r="170" spans="2:21" ht="15">
      <c r="B170" s="99">
        <v>262</v>
      </c>
      <c r="C170" s="86"/>
      <c r="D170" s="92"/>
      <c r="E170" s="85"/>
      <c r="F170" s="109"/>
      <c r="P170" s="112">
        <v>13</v>
      </c>
      <c r="Q170" s="112" t="s">
        <v>673</v>
      </c>
      <c r="R170" s="113" t="s">
        <v>672</v>
      </c>
      <c r="S170"/>
      <c r="T170"/>
      <c r="U170"/>
    </row>
    <row r="171" spans="2:21" ht="15">
      <c r="B171" s="99">
        <v>263</v>
      </c>
      <c r="C171" s="86"/>
      <c r="D171" s="92"/>
      <c r="E171" s="85"/>
      <c r="F171" s="109"/>
      <c r="P171" s="112">
        <v>14</v>
      </c>
      <c r="Q171" s="112" t="s">
        <v>671</v>
      </c>
      <c r="R171" s="113" t="s">
        <v>670</v>
      </c>
      <c r="S171"/>
      <c r="T171"/>
      <c r="U171"/>
    </row>
    <row r="172" spans="2:21" ht="15">
      <c r="B172" s="99">
        <v>159</v>
      </c>
      <c r="C172" s="86"/>
      <c r="D172" s="92"/>
      <c r="E172" s="85"/>
      <c r="F172" s="109"/>
      <c r="P172" s="112">
        <v>15</v>
      </c>
      <c r="Q172" s="112" t="s">
        <v>669</v>
      </c>
      <c r="R172" s="113" t="s">
        <v>668</v>
      </c>
      <c r="S172"/>
      <c r="T172"/>
      <c r="U172"/>
    </row>
    <row r="173" spans="2:21" ht="15.75" thickBot="1">
      <c r="B173" s="99">
        <v>160</v>
      </c>
      <c r="C173" s="86"/>
      <c r="D173" s="92"/>
      <c r="E173" s="85"/>
      <c r="F173" s="109"/>
      <c r="P173" s="112">
        <v>16</v>
      </c>
      <c r="Q173" s="112" t="s">
        <v>667</v>
      </c>
      <c r="R173" s="111" t="s">
        <v>657</v>
      </c>
      <c r="S173"/>
      <c r="T173"/>
      <c r="U173"/>
    </row>
    <row r="174" spans="2:21" ht="15.75" thickBot="1">
      <c r="B174" s="99">
        <v>161</v>
      </c>
      <c r="C174" s="86"/>
      <c r="D174" s="92"/>
      <c r="E174" s="85"/>
      <c r="F174" s="109"/>
      <c r="P174" s="112">
        <v>17</v>
      </c>
      <c r="Q174" s="112" t="s">
        <v>666</v>
      </c>
      <c r="R174" s="111" t="s">
        <v>657</v>
      </c>
      <c r="S174"/>
      <c r="T174"/>
      <c r="U174"/>
    </row>
    <row r="175" spans="2:21" ht="15.75" thickBot="1">
      <c r="B175" s="99">
        <v>162</v>
      </c>
      <c r="C175" s="86"/>
      <c r="D175" s="92"/>
      <c r="E175" s="85"/>
      <c r="F175" s="109"/>
      <c r="P175" s="112">
        <v>18</v>
      </c>
      <c r="Q175" s="112" t="s">
        <v>665</v>
      </c>
      <c r="R175" s="111" t="s">
        <v>657</v>
      </c>
      <c r="S175"/>
      <c r="T175"/>
      <c r="U175"/>
    </row>
    <row r="176" spans="2:21" ht="15.75" thickBot="1">
      <c r="B176" s="99">
        <v>163</v>
      </c>
      <c r="C176" s="86"/>
      <c r="D176" s="92"/>
      <c r="E176" s="85"/>
      <c r="F176" s="109"/>
      <c r="P176" s="112">
        <v>19</v>
      </c>
      <c r="Q176" s="112" t="s">
        <v>664</v>
      </c>
      <c r="R176" s="111" t="s">
        <v>657</v>
      </c>
      <c r="S176"/>
      <c r="T176"/>
      <c r="U176"/>
    </row>
    <row r="177" spans="2:21" ht="15.75" thickBot="1">
      <c r="B177" s="99">
        <v>250</v>
      </c>
      <c r="C177" s="86"/>
      <c r="D177" s="92"/>
      <c r="E177" s="85"/>
      <c r="F177" s="109"/>
      <c r="P177" s="112">
        <v>20</v>
      </c>
      <c r="Q177" s="112" t="s">
        <v>663</v>
      </c>
      <c r="R177" s="111" t="s">
        <v>657</v>
      </c>
      <c r="S177"/>
      <c r="T177"/>
      <c r="U177"/>
    </row>
    <row r="178" spans="2:21" ht="15.75" thickBot="1">
      <c r="B178" s="99">
        <v>251</v>
      </c>
      <c r="C178" s="86"/>
      <c r="D178" s="92"/>
      <c r="E178" s="85"/>
      <c r="F178" s="109"/>
      <c r="P178" s="112">
        <v>21</v>
      </c>
      <c r="Q178" s="112" t="s">
        <v>662</v>
      </c>
      <c r="R178" s="111" t="s">
        <v>657</v>
      </c>
      <c r="S178"/>
      <c r="T178"/>
      <c r="U178"/>
    </row>
    <row r="179" spans="2:21" ht="15.75" thickBot="1">
      <c r="B179" s="99">
        <v>170</v>
      </c>
      <c r="C179" s="86"/>
      <c r="D179" s="92"/>
      <c r="E179" s="85"/>
      <c r="F179" s="109"/>
      <c r="P179" s="112">
        <v>22</v>
      </c>
      <c r="Q179" s="112" t="s">
        <v>661</v>
      </c>
      <c r="R179" s="111" t="s">
        <v>657</v>
      </c>
      <c r="S179"/>
      <c r="T179"/>
      <c r="U179"/>
    </row>
    <row r="180" spans="2:21" ht="15.75" thickBot="1">
      <c r="B180" s="99">
        <v>171</v>
      </c>
      <c r="C180" s="86"/>
      <c r="D180" s="92"/>
      <c r="E180" s="85"/>
      <c r="F180" s="109"/>
      <c r="P180" s="112">
        <v>23</v>
      </c>
      <c r="Q180" s="112" t="s">
        <v>660</v>
      </c>
      <c r="R180" s="111" t="s">
        <v>657</v>
      </c>
      <c r="S180"/>
      <c r="T180"/>
      <c r="U180"/>
    </row>
    <row r="181" spans="2:21" ht="15.75" thickBot="1">
      <c r="B181" s="99">
        <v>173</v>
      </c>
      <c r="C181" s="86"/>
      <c r="D181" s="92"/>
      <c r="E181" s="85"/>
      <c r="F181" s="109"/>
      <c r="P181" s="112">
        <v>24</v>
      </c>
      <c r="Q181" s="112" t="s">
        <v>659</v>
      </c>
      <c r="R181" s="111" t="s">
        <v>657</v>
      </c>
    </row>
    <row r="182" spans="2:21" ht="15.75" thickBot="1">
      <c r="B182" s="99">
        <v>174</v>
      </c>
      <c r="C182" s="86"/>
      <c r="D182" s="92"/>
      <c r="E182" s="85"/>
      <c r="F182" s="109"/>
      <c r="P182" s="112">
        <v>25</v>
      </c>
      <c r="Q182" s="112" t="s">
        <v>658</v>
      </c>
      <c r="R182" s="111" t="s">
        <v>657</v>
      </c>
    </row>
    <row r="183" spans="2:21" ht="12.75">
      <c r="B183" s="99">
        <v>176</v>
      </c>
      <c r="C183" s="86"/>
      <c r="D183" s="92"/>
      <c r="E183" s="85"/>
      <c r="F183" s="109"/>
    </row>
    <row r="184" spans="2:21" ht="12.75">
      <c r="B184" s="99">
        <v>179</v>
      </c>
      <c r="C184" s="86"/>
      <c r="D184" s="92"/>
      <c r="E184" s="85"/>
      <c r="F184" s="109"/>
    </row>
    <row r="185" spans="2:21" ht="12.75">
      <c r="B185" s="99">
        <v>180</v>
      </c>
      <c r="C185" s="86"/>
      <c r="D185" s="92"/>
      <c r="E185" s="85"/>
      <c r="F185" s="109"/>
      <c r="G185" s="84" t="s">
        <v>656</v>
      </c>
      <c r="H185" s="84" t="s">
        <v>655</v>
      </c>
      <c r="J185" s="110"/>
    </row>
    <row r="186" spans="2:21" ht="12.75">
      <c r="B186" s="99">
        <v>181</v>
      </c>
      <c r="C186" s="86"/>
      <c r="D186" s="92"/>
      <c r="E186" s="85"/>
      <c r="F186" s="109"/>
      <c r="G186" s="85">
        <f>IF(AND(B76=217,C76=1),D76,0)+IF(AND(B77=217,C77=1),D77,0)+IF(AND(B78=217,C78=1),D78,0)+IF(AND(B79=217,C79=1),D79,0)+IF(AND(B80=217,C80=1),D80,0)+IF(AND(B81=217,C81=1),D81,0)+IF(AND(B82=217,C82=1),D82,0)+IF(AND(B83=217,C83=1),D83,0)+IF(AND(B84=217,C84=1),D84,0)+IF(AND(B85=217,C85=1),D85,0)+IF(AND(B86=217,C86=1),D86,0)+IF(AND(B87=217,C87=1),D87,0)+IF(AND(B88=217,C88=1),D88,0)+IF(AND(B89=217,C89=1),D89,0)+IF(AND(B90=217,C90=1),D90,0)+IF(AND(B91=217,C91=1),D91,0)+IF(AND(B92=217,C92=1),D92,0)+IF(AND(B93=217,C93=1),D93,0)+IF(AND(B94=217,C94=1),D94,0)+IF(AND(B95=217,C95),D95,0)+IF(AND(B96=217,C96=1),D96,0)+IF(AND(B97=217,C97=1),D97,0)+IF(AND(B98=217,C98=1),D98,0)</f>
        <v>0</v>
      </c>
      <c r="H186" s="85">
        <f>IF(AND(B76=217,C76=1),E76,0)+IF(AND(B77=217,C77=1),E77,0)+IF(AND(B78=217,C78=1),E78,0)+IF(AND(B79=217,C79=1),E79,0)+IF(AND(B80=217,C80=1),E80,0)+IF(AND(B81=217,C81=1),E81,0)+IF(AND(B82=217,C82=1),E82,0)+IF(AND(B83=217,C83=1),E83,0)+IF(AND(B84=217,C84=1),E84,0)+IF(AND(B85=217,C85=1),E85,0)+IF(AND(B86=217,C86=1),E86,0)+IF(AND(B87=217,C87=1),E87,0)+IF(AND(B88=217,C88=1),E88,0)+IF(AND(B89=217,C89=1),E89,0)+IF(AND(B90=217,C90=1),E90,0)+IF(AND(B91=217,C91=1),E91,0)+IF(AND(B92=217,C92=1),E92,0)+IF(AND(B93=217,C93=1),E93,0)+IF(AND(B94=217,C94=1),E94,0)+IF(AND(B95=217,C95),E95,0)+IF(AND(B96=217,C96=1),E96,0)+IF(AND(B97=217,C97=1),E97,0)+IF(AND(B98=217,C98=1),E98,0)</f>
        <v>0</v>
      </c>
      <c r="I186" s="86">
        <f>IF(AND(B76=217,C76=1),C76,0)+IF(AND(B77=217,C77=1),C77,0)+IF(AND(B78=217,C78=1),C78,0)+IF(AND(B79=217,C79=1),C79,0)+IF(AND(B80=217,C80=1),C80,0)+IF(AND(B81=217,C81=1),C81,0)+IF(AND(B82=217,C82=1),C82,0)+IF(AND(B83=217,C83=1),C83,0)+IF(AND(B84=217,C84=1),C84,0)+IF(AND(B85=217,C85=1),C85,0)+IF(AND(B86=217,C86=1),C86,0)+IF(AND(B87=217,C87=1),C87,0)+IF(AND(B88=217,C88=1),C88,0)+IF(AND(B89=217,C89=1),C89,0)+IF(AND(B90=217,C90=1),C90,0)+IF(AND(B91=217,C91=1),C91,0)+IF(AND(B92=217,C92=1),C92,0)+IF(AND(B93=217,C93=1),C93,0)+IF(AND(B94=217,C94=1),C94,0)+IF(AND(B95=217,C95),C95,0)+IF(AND(B96=217,C96=1),C96,0)+IF(AND(B97=217,C97=1),C97,0)+IF(AND(B98=217,C98=1),C98,0)</f>
        <v>0</v>
      </c>
    </row>
    <row r="187" spans="2:21" ht="12.75">
      <c r="B187" s="99">
        <v>217</v>
      </c>
      <c r="C187" s="86"/>
      <c r="D187" s="92"/>
      <c r="E187" s="85"/>
      <c r="F187" s="109"/>
    </row>
    <row r="188" spans="2:21" ht="12.75">
      <c r="B188" s="99">
        <v>218</v>
      </c>
      <c r="C188" s="86"/>
      <c r="D188" s="92"/>
      <c r="E188" s="85"/>
      <c r="F188" s="109"/>
    </row>
    <row r="189" spans="2:21" ht="12.75">
      <c r="B189" s="99">
        <v>233</v>
      </c>
      <c r="C189" s="86"/>
      <c r="D189" s="92"/>
      <c r="E189" s="85"/>
      <c r="F189" s="109"/>
    </row>
    <row r="190" spans="2:21" ht="12.75">
      <c r="B190" s="99">
        <v>235</v>
      </c>
      <c r="C190" s="86"/>
      <c r="D190" s="92"/>
      <c r="E190" s="85"/>
      <c r="F190" s="109"/>
    </row>
    <row r="191" spans="2:21" ht="12.75">
      <c r="B191" s="99">
        <v>264</v>
      </c>
      <c r="C191" s="86"/>
      <c r="D191" s="92"/>
      <c r="E191" s="85"/>
      <c r="F191" s="109"/>
    </row>
    <row r="192" spans="2:21" ht="12.75">
      <c r="B192" s="106">
        <v>127</v>
      </c>
      <c r="C192" s="86"/>
      <c r="D192" s="92"/>
      <c r="E192" s="85"/>
    </row>
    <row r="193" spans="2:6" ht="12.75">
      <c r="B193" s="87">
        <v>108</v>
      </c>
      <c r="C193" s="86"/>
      <c r="D193" s="92"/>
      <c r="E193" s="85"/>
    </row>
    <row r="194" spans="2:6" ht="12.75">
      <c r="B194" s="106" t="s">
        <v>654</v>
      </c>
      <c r="C194" s="99"/>
      <c r="D194" s="91"/>
      <c r="E194" s="107"/>
    </row>
    <row r="195" spans="2:6" ht="12.75">
      <c r="B195" s="108" t="s">
        <v>653</v>
      </c>
      <c r="C195" s="99"/>
      <c r="D195" s="92"/>
      <c r="E195" s="107"/>
    </row>
    <row r="196" spans="2:6" ht="12.75">
      <c r="B196" s="106">
        <v>125</v>
      </c>
      <c r="C196" s="86"/>
      <c r="D196" s="92"/>
      <c r="E196" s="85"/>
      <c r="F196" s="103"/>
    </row>
    <row r="197" spans="2:6" ht="12.75">
      <c r="B197" s="87">
        <v>190</v>
      </c>
      <c r="C197" s="86"/>
      <c r="D197" s="92"/>
      <c r="E197" s="85"/>
    </row>
    <row r="198" spans="2:6" ht="12.75">
      <c r="B198" s="99">
        <v>238</v>
      </c>
      <c r="C198" s="86"/>
      <c r="D198" s="92"/>
      <c r="E198" s="85"/>
    </row>
    <row r="199" spans="2:6" ht="12.75">
      <c r="B199" s="99">
        <v>239</v>
      </c>
      <c r="C199" s="86"/>
      <c r="D199" s="92"/>
      <c r="E199" s="85"/>
    </row>
    <row r="200" spans="2:6" ht="12.75">
      <c r="B200" s="99">
        <v>240</v>
      </c>
      <c r="C200" s="86"/>
      <c r="D200" s="92"/>
      <c r="E200" s="85"/>
    </row>
    <row r="201" spans="2:6" ht="12.75">
      <c r="B201" s="99">
        <v>197</v>
      </c>
      <c r="C201" s="86"/>
      <c r="D201" s="92"/>
      <c r="E201" s="85"/>
    </row>
    <row r="202" spans="2:6" ht="12.75">
      <c r="B202" s="99">
        <v>247</v>
      </c>
      <c r="C202" s="86"/>
      <c r="D202" s="92"/>
      <c r="E202" s="85"/>
    </row>
    <row r="203" spans="2:6" ht="12.75">
      <c r="B203" s="99">
        <v>241</v>
      </c>
      <c r="C203" s="86"/>
      <c r="D203" s="92"/>
      <c r="E203" s="85"/>
    </row>
    <row r="204" spans="2:6" ht="12.75">
      <c r="B204" s="99">
        <v>246</v>
      </c>
      <c r="C204" s="86"/>
      <c r="D204" s="92"/>
      <c r="E204" s="85"/>
    </row>
    <row r="205" spans="2:6" ht="12.75">
      <c r="B205" s="99">
        <v>202</v>
      </c>
      <c r="C205" s="86"/>
      <c r="D205" s="92"/>
      <c r="E205" s="85"/>
    </row>
    <row r="206" spans="2:6" ht="12.75">
      <c r="B206" s="99">
        <v>203</v>
      </c>
      <c r="C206" s="86"/>
      <c r="D206" s="92"/>
      <c r="E206" s="85"/>
    </row>
    <row r="207" spans="2:6" ht="12.75">
      <c r="B207" s="99">
        <v>204</v>
      </c>
      <c r="C207" s="86"/>
      <c r="D207" s="92"/>
      <c r="E207" s="85"/>
    </row>
    <row r="208" spans="2:6" ht="12.75">
      <c r="B208" s="99">
        <v>205</v>
      </c>
      <c r="C208" s="86"/>
      <c r="D208" s="92"/>
      <c r="E208" s="85"/>
    </row>
    <row r="209" spans="2:5" ht="12.75">
      <c r="B209" s="99">
        <v>242</v>
      </c>
      <c r="C209" s="86"/>
      <c r="D209" s="92"/>
      <c r="E209" s="85"/>
    </row>
    <row r="210" spans="2:5" ht="12.75">
      <c r="B210" s="99">
        <v>243</v>
      </c>
      <c r="C210" s="86"/>
      <c r="D210" s="92"/>
      <c r="E210" s="85"/>
    </row>
    <row r="211" spans="2:5" ht="12.75">
      <c r="B211" s="99">
        <v>230</v>
      </c>
      <c r="C211" s="86"/>
      <c r="D211" s="92"/>
      <c r="E211" s="85"/>
    </row>
    <row r="212" spans="2:5" ht="12.75">
      <c r="B212" s="99">
        <v>214</v>
      </c>
      <c r="C212" s="86"/>
      <c r="D212" s="92"/>
      <c r="E212" s="85"/>
    </row>
    <row r="213" spans="2:5" ht="12.75">
      <c r="B213" s="99">
        <v>244</v>
      </c>
      <c r="C213" s="86"/>
      <c r="D213" s="92"/>
      <c r="E213" s="85"/>
    </row>
    <row r="214" spans="2:5" ht="12.75">
      <c r="B214" s="99">
        <v>219</v>
      </c>
      <c r="C214" s="86"/>
      <c r="D214" s="92"/>
      <c r="E214" s="85"/>
    </row>
    <row r="215" spans="2:5" ht="12.75">
      <c r="B215" s="99">
        <v>220</v>
      </c>
      <c r="C215" s="86"/>
      <c r="D215" s="92"/>
      <c r="E215" s="85"/>
    </row>
    <row r="216" spans="2:5" ht="12.75">
      <c r="B216" s="99">
        <v>232</v>
      </c>
      <c r="C216" s="86"/>
      <c r="D216" s="92"/>
      <c r="E216" s="85"/>
    </row>
    <row r="217" spans="2:5" ht="12.75">
      <c r="B217" s="99">
        <v>222</v>
      </c>
      <c r="C217" s="86"/>
      <c r="D217" s="92"/>
      <c r="E217" s="85"/>
    </row>
    <row r="218" spans="2:5" ht="12.75">
      <c r="B218" s="99">
        <v>223</v>
      </c>
      <c r="C218" s="86"/>
      <c r="D218" s="92"/>
      <c r="E218" s="85"/>
    </row>
    <row r="219" spans="2:5" ht="12.75">
      <c r="B219" s="99">
        <v>245</v>
      </c>
      <c r="C219" s="86"/>
      <c r="D219" s="92"/>
      <c r="E219" s="85"/>
    </row>
    <row r="220" spans="2:5" ht="12.75">
      <c r="B220" s="87">
        <v>126</v>
      </c>
      <c r="C220" s="86"/>
      <c r="D220" s="92"/>
      <c r="E220" s="85"/>
    </row>
    <row r="221" spans="2:5" ht="12.75">
      <c r="B221" s="99">
        <v>124</v>
      </c>
      <c r="C221" s="99"/>
      <c r="D221" s="92"/>
      <c r="E221" s="99"/>
    </row>
    <row r="222" spans="2:5" ht="12.75">
      <c r="B222" s="84" t="s">
        <v>652</v>
      </c>
    </row>
    <row r="223" spans="2:5" ht="12.75">
      <c r="B223" s="87">
        <v>402</v>
      </c>
      <c r="C223" s="85">
        <f>'[8]Section C3'!H$26</f>
        <v>0</v>
      </c>
      <c r="D223" s="85">
        <f>'[8]Section C3'!I$26</f>
        <v>0</v>
      </c>
    </row>
    <row r="224" spans="2:5" ht="12.75">
      <c r="B224" s="87">
        <v>403</v>
      </c>
      <c r="C224" s="85">
        <f>'[8]Section C3'!H$30</f>
        <v>0</v>
      </c>
      <c r="D224" s="85">
        <f>'[8]Section C3'!I$30</f>
        <v>0</v>
      </c>
    </row>
    <row r="225" spans="2:7" ht="12.75">
      <c r="B225" s="87">
        <v>409</v>
      </c>
      <c r="C225" s="85">
        <f>'[8]Section C3'!H$35</f>
        <v>0</v>
      </c>
      <c r="D225" s="85">
        <f>'[8]Section C3'!I$35</f>
        <v>0</v>
      </c>
    </row>
    <row r="226" spans="2:7" ht="12.75">
      <c r="B226" s="84" t="s">
        <v>651</v>
      </c>
      <c r="G226" s="103"/>
    </row>
    <row r="227" spans="2:7" ht="12.75">
      <c r="B227" s="87">
        <v>404</v>
      </c>
      <c r="C227" s="85">
        <f>'[8]Section C3'!H31</f>
        <v>0</v>
      </c>
      <c r="D227" s="85">
        <f>'[8]Section C3'!I31</f>
        <v>0</v>
      </c>
    </row>
    <row r="228" spans="2:7" ht="12.75">
      <c r="B228" s="87">
        <v>405</v>
      </c>
      <c r="C228" s="85">
        <f>'[8]Section C3'!H32</f>
        <v>0</v>
      </c>
      <c r="D228" s="85">
        <f>'[8]Section C3'!I32</f>
        <v>0</v>
      </c>
    </row>
    <row r="229" spans="2:7" ht="12.75">
      <c r="B229" s="87">
        <v>406</v>
      </c>
      <c r="C229" s="85">
        <f>'[8]Section C3'!H33</f>
        <v>0</v>
      </c>
      <c r="D229" s="85">
        <f>'[8]Section C3'!I33</f>
        <v>0</v>
      </c>
    </row>
    <row r="230" spans="2:7" ht="12.75">
      <c r="B230" s="87">
        <v>407</v>
      </c>
      <c r="C230" s="85">
        <f>'[8]Section C3'!H34</f>
        <v>0</v>
      </c>
      <c r="D230" s="85">
        <f>'[8]Section C3'!I34</f>
        <v>0</v>
      </c>
    </row>
    <row r="231" spans="2:7" ht="12.75">
      <c r="B231" s="84" t="s">
        <v>650</v>
      </c>
    </row>
    <row r="232" spans="2:7" ht="12.75">
      <c r="B232" s="87">
        <v>400</v>
      </c>
      <c r="C232" s="85">
        <f>'[8]Section C3'!H15+'[8]Section C3'!H16</f>
        <v>0</v>
      </c>
      <c r="D232" s="85">
        <f>'[8]Section C3'!I15+'[8]Section C3'!I16</f>
        <v>0</v>
      </c>
    </row>
    <row r="233" spans="2:7" ht="12.75">
      <c r="B233" s="87">
        <v>415</v>
      </c>
      <c r="C233" s="85">
        <f>'[8]Section C3'!H17+'[8]Section C3'!H18</f>
        <v>0</v>
      </c>
      <c r="D233" s="85">
        <f>'[8]Section C3'!I17+'[8]Section C3'!I18</f>
        <v>0</v>
      </c>
    </row>
    <row r="234" spans="2:7" ht="12.75">
      <c r="B234" s="87">
        <v>416</v>
      </c>
      <c r="C234" s="85">
        <f>'[8]Section C3'!H19+'[8]Section C3'!H20</f>
        <v>0</v>
      </c>
      <c r="D234" s="85">
        <f>'[8]Section C3'!I19+'[8]Section C3'!I20</f>
        <v>0</v>
      </c>
    </row>
    <row r="235" spans="2:7" ht="12.75">
      <c r="B235" s="87">
        <v>417</v>
      </c>
      <c r="C235" s="85">
        <f>'[8]Section C3'!H21+'[8]Section C3'!H22</f>
        <v>0</v>
      </c>
      <c r="D235" s="85">
        <f>'[8]Section C3'!I21+'[8]Section C3'!I22</f>
        <v>0</v>
      </c>
    </row>
    <row r="236" spans="2:7" ht="12.75">
      <c r="B236" s="84" t="s">
        <v>649</v>
      </c>
    </row>
    <row r="237" spans="2:7" ht="12.75">
      <c r="B237" s="87">
        <v>111</v>
      </c>
      <c r="C237" s="86">
        <f t="shared" ref="C237:C251" si="9">IF(ISERROR(VLOOKUP(B237,B$76:E$98,2,FALSE)),0,(VLOOKUP(B237,B$76:E$98,2,FALSE)))</f>
        <v>0</v>
      </c>
      <c r="D237" s="85">
        <f t="shared" ref="D237:D251" si="10">IF(ISERROR(VLOOKUP(B237,B$76:D$98,3,FALSE)),0,(VLOOKUP(B237,B$76:D$98,3,FALSE)))</f>
        <v>0</v>
      </c>
      <c r="E237" s="85">
        <f t="shared" ref="E237:E251" si="11">IF(ISERROR(VLOOKUP(B237,B$76:E$98,4,FALSE)),0,(VLOOKUP(B237,B$76:E$98,4,FALSE)))</f>
        <v>0</v>
      </c>
      <c r="F237" s="85">
        <f t="shared" ref="F237:F251" si="12">IF(C237&lt;&gt;5,(D237+E237),0)</f>
        <v>0</v>
      </c>
    </row>
    <row r="238" spans="2:7" ht="12.75">
      <c r="B238" s="87">
        <v>112</v>
      </c>
      <c r="C238" s="86">
        <f t="shared" si="9"/>
        <v>0</v>
      </c>
      <c r="D238" s="85">
        <f t="shared" si="10"/>
        <v>0</v>
      </c>
      <c r="E238" s="85">
        <f t="shared" si="11"/>
        <v>0</v>
      </c>
      <c r="F238" s="85">
        <f t="shared" si="12"/>
        <v>0</v>
      </c>
    </row>
    <row r="239" spans="2:7" ht="12.75">
      <c r="B239" s="87">
        <v>113</v>
      </c>
      <c r="C239" s="86">
        <f t="shared" si="9"/>
        <v>0</v>
      </c>
      <c r="D239" s="85">
        <f t="shared" si="10"/>
        <v>0</v>
      </c>
      <c r="E239" s="85">
        <f t="shared" si="11"/>
        <v>0</v>
      </c>
      <c r="F239" s="85">
        <f t="shared" si="12"/>
        <v>0</v>
      </c>
    </row>
    <row r="240" spans="2:7" ht="12.75">
      <c r="B240" s="87">
        <v>114</v>
      </c>
      <c r="C240" s="86">
        <f t="shared" si="9"/>
        <v>0</v>
      </c>
      <c r="D240" s="85">
        <f t="shared" si="10"/>
        <v>0</v>
      </c>
      <c r="E240" s="85">
        <f t="shared" si="11"/>
        <v>0</v>
      </c>
      <c r="F240" s="85">
        <f t="shared" si="12"/>
        <v>0</v>
      </c>
    </row>
    <row r="241" spans="2:6" ht="12.75">
      <c r="B241" s="87">
        <v>115</v>
      </c>
      <c r="C241" s="86">
        <f t="shared" si="9"/>
        <v>0</v>
      </c>
      <c r="D241" s="85">
        <f t="shared" si="10"/>
        <v>0</v>
      </c>
      <c r="E241" s="85">
        <f t="shared" si="11"/>
        <v>0</v>
      </c>
      <c r="F241" s="85">
        <f t="shared" si="12"/>
        <v>0</v>
      </c>
    </row>
    <row r="242" spans="2:6" ht="12.75">
      <c r="B242" s="87">
        <v>116</v>
      </c>
      <c r="C242" s="86">
        <f t="shared" si="9"/>
        <v>0</v>
      </c>
      <c r="D242" s="85">
        <f t="shared" si="10"/>
        <v>0</v>
      </c>
      <c r="E242" s="85">
        <f t="shared" si="11"/>
        <v>0</v>
      </c>
      <c r="F242" s="85">
        <f t="shared" si="12"/>
        <v>0</v>
      </c>
    </row>
    <row r="243" spans="2:6" ht="12.75">
      <c r="B243" s="87">
        <v>120</v>
      </c>
      <c r="C243" s="86">
        <f t="shared" si="9"/>
        <v>0</v>
      </c>
      <c r="D243" s="85">
        <f t="shared" si="10"/>
        <v>0</v>
      </c>
      <c r="E243" s="85">
        <f t="shared" si="11"/>
        <v>0</v>
      </c>
      <c r="F243" s="85">
        <f t="shared" si="12"/>
        <v>0</v>
      </c>
    </row>
    <row r="244" spans="2:6" ht="12.75">
      <c r="B244" s="87">
        <v>121</v>
      </c>
      <c r="C244" s="86">
        <f t="shared" si="9"/>
        <v>0</v>
      </c>
      <c r="D244" s="85">
        <f t="shared" si="10"/>
        <v>0</v>
      </c>
      <c r="E244" s="85">
        <f t="shared" si="11"/>
        <v>0</v>
      </c>
      <c r="F244" s="85">
        <f t="shared" si="12"/>
        <v>0</v>
      </c>
    </row>
    <row r="245" spans="2:6" ht="12.75">
      <c r="B245" s="87">
        <v>122</v>
      </c>
      <c r="C245" s="86">
        <f t="shared" si="9"/>
        <v>0</v>
      </c>
      <c r="D245" s="85">
        <f t="shared" si="10"/>
        <v>0</v>
      </c>
      <c r="E245" s="85">
        <f t="shared" si="11"/>
        <v>0</v>
      </c>
      <c r="F245" s="85">
        <f t="shared" si="12"/>
        <v>0</v>
      </c>
    </row>
    <row r="246" spans="2:6" ht="12.75">
      <c r="B246" s="87">
        <v>123</v>
      </c>
      <c r="C246" s="86">
        <f t="shared" si="9"/>
        <v>0</v>
      </c>
      <c r="D246" s="85">
        <f t="shared" si="10"/>
        <v>0</v>
      </c>
      <c r="E246" s="85">
        <f t="shared" si="11"/>
        <v>0</v>
      </c>
      <c r="F246" s="85">
        <f t="shared" si="12"/>
        <v>0</v>
      </c>
    </row>
    <row r="247" spans="2:6" ht="12.75">
      <c r="B247" s="87">
        <v>124</v>
      </c>
      <c r="C247" s="86">
        <f t="shared" si="9"/>
        <v>0</v>
      </c>
      <c r="D247" s="85">
        <f t="shared" si="10"/>
        <v>0</v>
      </c>
      <c r="E247" s="85">
        <f t="shared" si="11"/>
        <v>0</v>
      </c>
      <c r="F247" s="85">
        <f t="shared" si="12"/>
        <v>0</v>
      </c>
    </row>
    <row r="248" spans="2:6" ht="12.75">
      <c r="B248" s="87">
        <v>125</v>
      </c>
      <c r="C248" s="86">
        <f t="shared" si="9"/>
        <v>0</v>
      </c>
      <c r="D248" s="85">
        <f t="shared" si="10"/>
        <v>0</v>
      </c>
      <c r="E248" s="85">
        <f t="shared" si="11"/>
        <v>0</v>
      </c>
      <c r="F248" s="85">
        <f t="shared" si="12"/>
        <v>0</v>
      </c>
    </row>
    <row r="249" spans="2:6" ht="12.75">
      <c r="B249" s="87">
        <v>129</v>
      </c>
      <c r="C249" s="86">
        <f t="shared" si="9"/>
        <v>0</v>
      </c>
      <c r="D249" s="85">
        <f t="shared" si="10"/>
        <v>0</v>
      </c>
      <c r="E249" s="85">
        <f t="shared" si="11"/>
        <v>0</v>
      </c>
      <c r="F249" s="85">
        <f t="shared" si="12"/>
        <v>0</v>
      </c>
    </row>
    <row r="250" spans="2:6" ht="12.75">
      <c r="B250" s="87">
        <v>224</v>
      </c>
      <c r="C250" s="86">
        <f t="shared" si="9"/>
        <v>0</v>
      </c>
      <c r="D250" s="85">
        <f t="shared" si="10"/>
        <v>0</v>
      </c>
      <c r="E250" s="85">
        <f t="shared" si="11"/>
        <v>0</v>
      </c>
      <c r="F250" s="85">
        <f t="shared" si="12"/>
        <v>0</v>
      </c>
    </row>
    <row r="251" spans="2:6" ht="12.75">
      <c r="B251" s="87">
        <v>265</v>
      </c>
      <c r="C251" s="86">
        <f t="shared" si="9"/>
        <v>0</v>
      </c>
      <c r="D251" s="85">
        <f t="shared" si="10"/>
        <v>0</v>
      </c>
      <c r="E251" s="85">
        <f t="shared" si="11"/>
        <v>0</v>
      </c>
      <c r="F251" s="85">
        <f t="shared" si="12"/>
        <v>0</v>
      </c>
    </row>
    <row r="252" spans="2:6" ht="12.75">
      <c r="B252" s="84" t="s">
        <v>648</v>
      </c>
      <c r="F252" s="103">
        <f>SUM(F237:F251)</f>
        <v>0</v>
      </c>
    </row>
    <row r="253" spans="2:6" ht="12.75">
      <c r="B253" s="87">
        <v>127</v>
      </c>
      <c r="C253" s="86">
        <f t="shared" ref="C253:C284" si="13">IF(ISERROR(VLOOKUP(B253,B$76:E$98,2,FALSE)),0,(VLOOKUP(B253,B$76:E$98,2,FALSE)))</f>
        <v>0</v>
      </c>
      <c r="D253" s="85">
        <f t="shared" ref="D253:D284" si="14">IF(ISERROR(VLOOKUP(B253,B$76:D$98,3,FALSE)),0,(VLOOKUP(B253,B$76:D$98,3,FALSE)))</f>
        <v>0</v>
      </c>
      <c r="E253" s="105">
        <f t="shared" ref="E253:E284" si="15">IF(ISERROR(VLOOKUP(B253,B$76:E$98,4,FALSE)),0,(VLOOKUP(B253,B$76:E$98,4,FALSE)))</f>
        <v>0</v>
      </c>
      <c r="F253" s="104"/>
    </row>
    <row r="254" spans="2:6" ht="12.75">
      <c r="B254" s="87">
        <v>131</v>
      </c>
      <c r="C254" s="86">
        <f t="shared" si="13"/>
        <v>0</v>
      </c>
      <c r="D254" s="85">
        <f t="shared" si="14"/>
        <v>0</v>
      </c>
      <c r="E254" s="105">
        <f t="shared" si="15"/>
        <v>0</v>
      </c>
      <c r="F254" s="104"/>
    </row>
    <row r="255" spans="2:6" ht="12.75">
      <c r="B255" s="87">
        <v>132</v>
      </c>
      <c r="C255" s="86">
        <f t="shared" si="13"/>
        <v>0</v>
      </c>
      <c r="D255" s="85">
        <f t="shared" si="14"/>
        <v>0</v>
      </c>
      <c r="E255" s="105">
        <f t="shared" si="15"/>
        <v>0</v>
      </c>
      <c r="F255" s="104"/>
    </row>
    <row r="256" spans="2:6" ht="12.75">
      <c r="B256" s="87">
        <v>133</v>
      </c>
      <c r="C256" s="86">
        <f t="shared" si="13"/>
        <v>0</v>
      </c>
      <c r="D256" s="85">
        <f t="shared" si="14"/>
        <v>0</v>
      </c>
      <c r="E256" s="105">
        <f t="shared" si="15"/>
        <v>0</v>
      </c>
      <c r="F256" s="104"/>
    </row>
    <row r="257" spans="2:6" ht="12.75">
      <c r="B257" s="87">
        <v>134</v>
      </c>
      <c r="C257" s="86">
        <f t="shared" si="13"/>
        <v>0</v>
      </c>
      <c r="D257" s="85">
        <f t="shared" si="14"/>
        <v>0</v>
      </c>
      <c r="E257" s="105">
        <f t="shared" si="15"/>
        <v>0</v>
      </c>
      <c r="F257" s="104"/>
    </row>
    <row r="258" spans="2:6" ht="12.75">
      <c r="B258" s="87">
        <f t="shared" ref="B258:B282" si="16">B257+1</f>
        <v>135</v>
      </c>
      <c r="C258" s="86">
        <f t="shared" si="13"/>
        <v>0</v>
      </c>
      <c r="D258" s="85">
        <f t="shared" si="14"/>
        <v>0</v>
      </c>
      <c r="E258" s="105">
        <f t="shared" si="15"/>
        <v>0</v>
      </c>
      <c r="F258" s="104"/>
    </row>
    <row r="259" spans="2:6" ht="12.75">
      <c r="B259" s="87">
        <f t="shared" si="16"/>
        <v>136</v>
      </c>
      <c r="C259" s="86">
        <f t="shared" si="13"/>
        <v>0</v>
      </c>
      <c r="D259" s="85">
        <f t="shared" si="14"/>
        <v>0</v>
      </c>
      <c r="E259" s="105">
        <f t="shared" si="15"/>
        <v>0</v>
      </c>
      <c r="F259" s="104"/>
    </row>
    <row r="260" spans="2:6" ht="12.75">
      <c r="B260" s="87">
        <f t="shared" si="16"/>
        <v>137</v>
      </c>
      <c r="C260" s="86">
        <f t="shared" si="13"/>
        <v>0</v>
      </c>
      <c r="D260" s="85">
        <f t="shared" si="14"/>
        <v>0</v>
      </c>
      <c r="E260" s="105">
        <f t="shared" si="15"/>
        <v>0</v>
      </c>
      <c r="F260" s="104"/>
    </row>
    <row r="261" spans="2:6" ht="12.75">
      <c r="B261" s="87">
        <f t="shared" si="16"/>
        <v>138</v>
      </c>
      <c r="C261" s="86">
        <f t="shared" si="13"/>
        <v>0</v>
      </c>
      <c r="D261" s="85">
        <f t="shared" si="14"/>
        <v>0</v>
      </c>
      <c r="E261" s="105">
        <f t="shared" si="15"/>
        <v>0</v>
      </c>
      <c r="F261" s="104"/>
    </row>
    <row r="262" spans="2:6" ht="12.75">
      <c r="B262" s="87">
        <f t="shared" si="16"/>
        <v>139</v>
      </c>
      <c r="C262" s="86">
        <f t="shared" si="13"/>
        <v>0</v>
      </c>
      <c r="D262" s="85">
        <f t="shared" si="14"/>
        <v>0</v>
      </c>
      <c r="E262" s="105">
        <f t="shared" si="15"/>
        <v>0</v>
      </c>
      <c r="F262" s="104"/>
    </row>
    <row r="263" spans="2:6" ht="12.75">
      <c r="B263" s="87">
        <f t="shared" si="16"/>
        <v>140</v>
      </c>
      <c r="C263" s="86">
        <f t="shared" si="13"/>
        <v>0</v>
      </c>
      <c r="D263" s="85">
        <f t="shared" si="14"/>
        <v>0</v>
      </c>
      <c r="E263" s="105">
        <f t="shared" si="15"/>
        <v>0</v>
      </c>
      <c r="F263" s="104"/>
    </row>
    <row r="264" spans="2:6" ht="12.75">
      <c r="B264" s="87">
        <f t="shared" si="16"/>
        <v>141</v>
      </c>
      <c r="C264" s="86">
        <f t="shared" si="13"/>
        <v>0</v>
      </c>
      <c r="D264" s="85">
        <f t="shared" si="14"/>
        <v>0</v>
      </c>
      <c r="E264" s="105">
        <f t="shared" si="15"/>
        <v>0</v>
      </c>
      <c r="F264" s="104"/>
    </row>
    <row r="265" spans="2:6" ht="12.75">
      <c r="B265" s="87">
        <f t="shared" si="16"/>
        <v>142</v>
      </c>
      <c r="C265" s="86">
        <f t="shared" si="13"/>
        <v>0</v>
      </c>
      <c r="D265" s="85">
        <f t="shared" si="14"/>
        <v>0</v>
      </c>
      <c r="E265" s="105">
        <f t="shared" si="15"/>
        <v>0</v>
      </c>
      <c r="F265" s="104"/>
    </row>
    <row r="266" spans="2:6" ht="12.75">
      <c r="B266" s="87">
        <f t="shared" si="16"/>
        <v>143</v>
      </c>
      <c r="C266" s="86">
        <f t="shared" si="13"/>
        <v>0</v>
      </c>
      <c r="D266" s="85">
        <f t="shared" si="14"/>
        <v>0</v>
      </c>
      <c r="E266" s="105">
        <f t="shared" si="15"/>
        <v>0</v>
      </c>
      <c r="F266" s="104"/>
    </row>
    <row r="267" spans="2:6" ht="12.75">
      <c r="B267" s="87">
        <f t="shared" si="16"/>
        <v>144</v>
      </c>
      <c r="C267" s="86">
        <f t="shared" si="13"/>
        <v>0</v>
      </c>
      <c r="D267" s="85">
        <f t="shared" si="14"/>
        <v>0</v>
      </c>
      <c r="E267" s="105">
        <f t="shared" si="15"/>
        <v>0</v>
      </c>
      <c r="F267" s="104"/>
    </row>
    <row r="268" spans="2:6" ht="12.75">
      <c r="B268" s="87">
        <f t="shared" si="16"/>
        <v>145</v>
      </c>
      <c r="C268" s="86">
        <f t="shared" si="13"/>
        <v>0</v>
      </c>
      <c r="D268" s="85">
        <f t="shared" si="14"/>
        <v>0</v>
      </c>
      <c r="E268" s="105">
        <f t="shared" si="15"/>
        <v>0</v>
      </c>
      <c r="F268" s="104"/>
    </row>
    <row r="269" spans="2:6" ht="12.75">
      <c r="B269" s="87">
        <f t="shared" si="16"/>
        <v>146</v>
      </c>
      <c r="C269" s="86">
        <f t="shared" si="13"/>
        <v>0</v>
      </c>
      <c r="D269" s="85">
        <f t="shared" si="14"/>
        <v>0</v>
      </c>
      <c r="E269" s="105">
        <f t="shared" si="15"/>
        <v>0</v>
      </c>
      <c r="F269" s="104"/>
    </row>
    <row r="270" spans="2:6" ht="12.75">
      <c r="B270" s="87">
        <f t="shared" si="16"/>
        <v>147</v>
      </c>
      <c r="C270" s="86">
        <f t="shared" si="13"/>
        <v>0</v>
      </c>
      <c r="D270" s="85">
        <f t="shared" si="14"/>
        <v>0</v>
      </c>
      <c r="E270" s="105">
        <f t="shared" si="15"/>
        <v>0</v>
      </c>
      <c r="F270" s="104"/>
    </row>
    <row r="271" spans="2:6" ht="12.75">
      <c r="B271" s="87">
        <f t="shared" si="16"/>
        <v>148</v>
      </c>
      <c r="C271" s="86">
        <f t="shared" si="13"/>
        <v>0</v>
      </c>
      <c r="D271" s="85">
        <f t="shared" si="14"/>
        <v>0</v>
      </c>
      <c r="E271" s="105">
        <f t="shared" si="15"/>
        <v>0</v>
      </c>
      <c r="F271" s="104"/>
    </row>
    <row r="272" spans="2:6" ht="12.75">
      <c r="B272" s="87">
        <f t="shared" si="16"/>
        <v>149</v>
      </c>
      <c r="C272" s="86">
        <f t="shared" si="13"/>
        <v>0</v>
      </c>
      <c r="D272" s="85">
        <f t="shared" si="14"/>
        <v>0</v>
      </c>
      <c r="E272" s="105">
        <f t="shared" si="15"/>
        <v>0</v>
      </c>
      <c r="F272" s="104"/>
    </row>
    <row r="273" spans="2:6" ht="12.75">
      <c r="B273" s="87">
        <f t="shared" si="16"/>
        <v>150</v>
      </c>
      <c r="C273" s="86">
        <f t="shared" si="13"/>
        <v>0</v>
      </c>
      <c r="D273" s="85">
        <f t="shared" si="14"/>
        <v>0</v>
      </c>
      <c r="E273" s="105">
        <f t="shared" si="15"/>
        <v>0</v>
      </c>
      <c r="F273" s="104"/>
    </row>
    <row r="274" spans="2:6" ht="12.75">
      <c r="B274" s="87">
        <f t="shared" si="16"/>
        <v>151</v>
      </c>
      <c r="C274" s="86">
        <f t="shared" si="13"/>
        <v>0</v>
      </c>
      <c r="D274" s="85">
        <f t="shared" si="14"/>
        <v>0</v>
      </c>
      <c r="E274" s="105">
        <f t="shared" si="15"/>
        <v>0</v>
      </c>
      <c r="F274" s="104"/>
    </row>
    <row r="275" spans="2:6" ht="12.75">
      <c r="B275" s="87">
        <f t="shared" si="16"/>
        <v>152</v>
      </c>
      <c r="C275" s="86">
        <f t="shared" si="13"/>
        <v>0</v>
      </c>
      <c r="D275" s="85">
        <f t="shared" si="14"/>
        <v>0</v>
      </c>
      <c r="E275" s="105">
        <f t="shared" si="15"/>
        <v>0</v>
      </c>
      <c r="F275" s="104"/>
    </row>
    <row r="276" spans="2:6" ht="12.75">
      <c r="B276" s="87">
        <f t="shared" si="16"/>
        <v>153</v>
      </c>
      <c r="C276" s="86">
        <f t="shared" si="13"/>
        <v>0</v>
      </c>
      <c r="D276" s="85">
        <f t="shared" si="14"/>
        <v>0</v>
      </c>
      <c r="E276" s="105">
        <f t="shared" si="15"/>
        <v>0</v>
      </c>
      <c r="F276" s="104"/>
    </row>
    <row r="277" spans="2:6" ht="12.75">
      <c r="B277" s="87">
        <f t="shared" si="16"/>
        <v>154</v>
      </c>
      <c r="C277" s="86">
        <f t="shared" si="13"/>
        <v>0</v>
      </c>
      <c r="D277" s="85">
        <f t="shared" si="14"/>
        <v>0</v>
      </c>
      <c r="E277" s="105">
        <f t="shared" si="15"/>
        <v>0</v>
      </c>
      <c r="F277" s="104"/>
    </row>
    <row r="278" spans="2:6" ht="12.75">
      <c r="B278" s="87">
        <f t="shared" si="16"/>
        <v>155</v>
      </c>
      <c r="C278" s="86">
        <f t="shared" si="13"/>
        <v>0</v>
      </c>
      <c r="D278" s="85">
        <f t="shared" si="14"/>
        <v>0</v>
      </c>
      <c r="E278" s="105">
        <f t="shared" si="15"/>
        <v>0</v>
      </c>
      <c r="F278" s="104"/>
    </row>
    <row r="279" spans="2:6" ht="12.75">
      <c r="B279" s="87">
        <f t="shared" si="16"/>
        <v>156</v>
      </c>
      <c r="C279" s="86">
        <f t="shared" si="13"/>
        <v>0</v>
      </c>
      <c r="D279" s="85">
        <f t="shared" si="14"/>
        <v>0</v>
      </c>
      <c r="E279" s="105">
        <f t="shared" si="15"/>
        <v>0</v>
      </c>
      <c r="F279" s="104"/>
    </row>
    <row r="280" spans="2:6" ht="12.75">
      <c r="B280" s="87">
        <f t="shared" si="16"/>
        <v>157</v>
      </c>
      <c r="C280" s="86">
        <f t="shared" si="13"/>
        <v>0</v>
      </c>
      <c r="D280" s="85">
        <f t="shared" si="14"/>
        <v>0</v>
      </c>
      <c r="E280" s="105">
        <f t="shared" si="15"/>
        <v>0</v>
      </c>
      <c r="F280" s="104"/>
    </row>
    <row r="281" spans="2:6" ht="12.75">
      <c r="B281" s="87">
        <f t="shared" si="16"/>
        <v>158</v>
      </c>
      <c r="C281" s="86">
        <f t="shared" si="13"/>
        <v>0</v>
      </c>
      <c r="D281" s="85">
        <f t="shared" si="14"/>
        <v>0</v>
      </c>
      <c r="E281" s="105">
        <f t="shared" si="15"/>
        <v>0</v>
      </c>
      <c r="F281" s="104"/>
    </row>
    <row r="282" spans="2:6" ht="12.75">
      <c r="B282" s="87">
        <f t="shared" si="16"/>
        <v>159</v>
      </c>
      <c r="C282" s="86">
        <f t="shared" si="13"/>
        <v>0</v>
      </c>
      <c r="D282" s="85">
        <f t="shared" si="14"/>
        <v>0</v>
      </c>
      <c r="E282" s="105">
        <f t="shared" si="15"/>
        <v>0</v>
      </c>
      <c r="F282" s="104"/>
    </row>
    <row r="283" spans="2:6" ht="12.75">
      <c r="B283" s="87">
        <v>170</v>
      </c>
      <c r="C283" s="86">
        <f t="shared" si="13"/>
        <v>0</v>
      </c>
      <c r="D283" s="85">
        <f t="shared" si="14"/>
        <v>0</v>
      </c>
      <c r="E283" s="105">
        <f t="shared" si="15"/>
        <v>0</v>
      </c>
      <c r="F283" s="104"/>
    </row>
    <row r="284" spans="2:6" ht="12.75">
      <c r="B284" s="87">
        <f t="shared" ref="B284:B294" si="17">B283+1</f>
        <v>171</v>
      </c>
      <c r="C284" s="86">
        <f t="shared" si="13"/>
        <v>0</v>
      </c>
      <c r="D284" s="85">
        <f t="shared" si="14"/>
        <v>0</v>
      </c>
      <c r="E284" s="105">
        <f t="shared" si="15"/>
        <v>0</v>
      </c>
      <c r="F284" s="104"/>
    </row>
    <row r="285" spans="2:6" ht="12.75">
      <c r="B285" s="87">
        <f t="shared" si="17"/>
        <v>172</v>
      </c>
      <c r="C285" s="86">
        <f t="shared" ref="C285:C311" si="18">IF(ISERROR(VLOOKUP(B285,B$76:E$98,2,FALSE)),0,(VLOOKUP(B285,B$76:E$98,2,FALSE)))</f>
        <v>0</v>
      </c>
      <c r="D285" s="85">
        <f t="shared" ref="D285:D311" si="19">IF(ISERROR(VLOOKUP(B285,B$76:D$98,3,FALSE)),0,(VLOOKUP(B285,B$76:D$98,3,FALSE)))</f>
        <v>0</v>
      </c>
      <c r="E285" s="105">
        <f t="shared" ref="E285:E311" si="20">IF(ISERROR(VLOOKUP(B285,B$76:E$98,4,FALSE)),0,(VLOOKUP(B285,B$76:E$98,4,FALSE)))</f>
        <v>0</v>
      </c>
      <c r="F285" s="104"/>
    </row>
    <row r="286" spans="2:6" ht="12.75">
      <c r="B286" s="87">
        <f t="shared" si="17"/>
        <v>173</v>
      </c>
      <c r="C286" s="86">
        <f t="shared" si="18"/>
        <v>0</v>
      </c>
      <c r="D286" s="85">
        <f t="shared" si="19"/>
        <v>0</v>
      </c>
      <c r="E286" s="105">
        <f t="shared" si="20"/>
        <v>0</v>
      </c>
      <c r="F286" s="104"/>
    </row>
    <row r="287" spans="2:6" ht="12.75">
      <c r="B287" s="87">
        <f t="shared" si="17"/>
        <v>174</v>
      </c>
      <c r="C287" s="86">
        <f t="shared" si="18"/>
        <v>0</v>
      </c>
      <c r="D287" s="85">
        <f t="shared" si="19"/>
        <v>0</v>
      </c>
      <c r="E287" s="105">
        <f t="shared" si="20"/>
        <v>0</v>
      </c>
      <c r="F287" s="104"/>
    </row>
    <row r="288" spans="2:6" ht="12.75">
      <c r="B288" s="87">
        <f t="shared" si="17"/>
        <v>175</v>
      </c>
      <c r="C288" s="86">
        <f t="shared" si="18"/>
        <v>0</v>
      </c>
      <c r="D288" s="85">
        <f t="shared" si="19"/>
        <v>0</v>
      </c>
      <c r="E288" s="105">
        <f t="shared" si="20"/>
        <v>0</v>
      </c>
      <c r="F288" s="104"/>
    </row>
    <row r="289" spans="2:6" ht="12.75">
      <c r="B289" s="87">
        <f t="shared" si="17"/>
        <v>176</v>
      </c>
      <c r="C289" s="86">
        <f t="shared" si="18"/>
        <v>0</v>
      </c>
      <c r="D289" s="85">
        <f t="shared" si="19"/>
        <v>0</v>
      </c>
      <c r="E289" s="105">
        <f t="shared" si="20"/>
        <v>0</v>
      </c>
      <c r="F289" s="104"/>
    </row>
    <row r="290" spans="2:6" ht="12.75">
      <c r="B290" s="87">
        <f t="shared" si="17"/>
        <v>177</v>
      </c>
      <c r="C290" s="86">
        <f t="shared" si="18"/>
        <v>0</v>
      </c>
      <c r="D290" s="85">
        <f t="shared" si="19"/>
        <v>0</v>
      </c>
      <c r="E290" s="105">
        <f t="shared" si="20"/>
        <v>0</v>
      </c>
      <c r="F290" s="104"/>
    </row>
    <row r="291" spans="2:6" ht="12.75">
      <c r="B291" s="87">
        <f t="shared" si="17"/>
        <v>178</v>
      </c>
      <c r="C291" s="86">
        <f t="shared" si="18"/>
        <v>0</v>
      </c>
      <c r="D291" s="85">
        <f t="shared" si="19"/>
        <v>0</v>
      </c>
      <c r="E291" s="105">
        <f t="shared" si="20"/>
        <v>0</v>
      </c>
      <c r="F291" s="104"/>
    </row>
    <row r="292" spans="2:6" ht="12.75">
      <c r="B292" s="87">
        <f t="shared" si="17"/>
        <v>179</v>
      </c>
      <c r="C292" s="86">
        <f t="shared" si="18"/>
        <v>0</v>
      </c>
      <c r="D292" s="85">
        <f t="shared" si="19"/>
        <v>0</v>
      </c>
      <c r="E292" s="105">
        <f t="shared" si="20"/>
        <v>0</v>
      </c>
      <c r="F292" s="104"/>
    </row>
    <row r="293" spans="2:6" ht="12.75">
      <c r="B293" s="87">
        <f t="shared" si="17"/>
        <v>180</v>
      </c>
      <c r="C293" s="86">
        <f t="shared" si="18"/>
        <v>0</v>
      </c>
      <c r="D293" s="85">
        <f t="shared" si="19"/>
        <v>0</v>
      </c>
      <c r="E293" s="105">
        <f t="shared" si="20"/>
        <v>0</v>
      </c>
      <c r="F293" s="104"/>
    </row>
    <row r="294" spans="2:6" ht="12.75">
      <c r="B294" s="87">
        <f t="shared" si="17"/>
        <v>181</v>
      </c>
      <c r="C294" s="86">
        <f t="shared" si="18"/>
        <v>0</v>
      </c>
      <c r="D294" s="85">
        <f t="shared" si="19"/>
        <v>0</v>
      </c>
      <c r="E294" s="105">
        <f t="shared" si="20"/>
        <v>0</v>
      </c>
      <c r="F294" s="104"/>
    </row>
    <row r="295" spans="2:6" ht="12.75">
      <c r="B295" s="87">
        <v>233</v>
      </c>
      <c r="C295" s="86">
        <f t="shared" si="18"/>
        <v>0</v>
      </c>
      <c r="D295" s="85">
        <f t="shared" si="19"/>
        <v>0</v>
      </c>
      <c r="E295" s="105">
        <f t="shared" si="20"/>
        <v>0</v>
      </c>
      <c r="F295" s="104"/>
    </row>
    <row r="296" spans="2:6" ht="12.75">
      <c r="B296" s="87">
        <v>234</v>
      </c>
      <c r="C296" s="86">
        <f t="shared" si="18"/>
        <v>0</v>
      </c>
      <c r="D296" s="85">
        <f t="shared" si="19"/>
        <v>0</v>
      </c>
      <c r="E296" s="105">
        <f t="shared" si="20"/>
        <v>0</v>
      </c>
      <c r="F296" s="104"/>
    </row>
    <row r="297" spans="2:6" ht="12.75">
      <c r="B297" s="87">
        <v>250</v>
      </c>
      <c r="C297" s="86">
        <f t="shared" si="18"/>
        <v>0</v>
      </c>
      <c r="D297" s="85">
        <f t="shared" si="19"/>
        <v>0</v>
      </c>
      <c r="E297" s="105">
        <f t="shared" si="20"/>
        <v>0</v>
      </c>
      <c r="F297" s="104"/>
    </row>
    <row r="298" spans="2:6" ht="12.75">
      <c r="B298" s="87">
        <f t="shared" ref="B298:B311" si="21">B297+1</f>
        <v>251</v>
      </c>
      <c r="C298" s="86">
        <f t="shared" si="18"/>
        <v>0</v>
      </c>
      <c r="D298" s="85">
        <f t="shared" si="19"/>
        <v>0</v>
      </c>
      <c r="E298" s="105">
        <f t="shared" si="20"/>
        <v>0</v>
      </c>
      <c r="F298" s="104"/>
    </row>
    <row r="299" spans="2:6" ht="12.75">
      <c r="B299" s="87">
        <f t="shared" si="21"/>
        <v>252</v>
      </c>
      <c r="C299" s="86">
        <f t="shared" si="18"/>
        <v>0</v>
      </c>
      <c r="D299" s="85">
        <f t="shared" si="19"/>
        <v>0</v>
      </c>
      <c r="E299" s="105">
        <f t="shared" si="20"/>
        <v>0</v>
      </c>
      <c r="F299" s="104"/>
    </row>
    <row r="300" spans="2:6" ht="12.75">
      <c r="B300" s="87">
        <f t="shared" si="21"/>
        <v>253</v>
      </c>
      <c r="C300" s="86">
        <f t="shared" si="18"/>
        <v>0</v>
      </c>
      <c r="D300" s="85">
        <f t="shared" si="19"/>
        <v>0</v>
      </c>
      <c r="E300" s="105">
        <f t="shared" si="20"/>
        <v>0</v>
      </c>
      <c r="F300" s="104"/>
    </row>
    <row r="301" spans="2:6" ht="12.75">
      <c r="B301" s="87">
        <f t="shared" si="21"/>
        <v>254</v>
      </c>
      <c r="C301" s="86">
        <f t="shared" si="18"/>
        <v>0</v>
      </c>
      <c r="D301" s="85">
        <f t="shared" si="19"/>
        <v>0</v>
      </c>
      <c r="E301" s="105">
        <f t="shared" si="20"/>
        <v>0</v>
      </c>
      <c r="F301" s="104"/>
    </row>
    <row r="302" spans="2:6" ht="12.75">
      <c r="B302" s="87">
        <f t="shared" si="21"/>
        <v>255</v>
      </c>
      <c r="C302" s="86">
        <f t="shared" si="18"/>
        <v>0</v>
      </c>
      <c r="D302" s="85">
        <f t="shared" si="19"/>
        <v>0</v>
      </c>
      <c r="E302" s="105">
        <f t="shared" si="20"/>
        <v>0</v>
      </c>
      <c r="F302" s="104"/>
    </row>
    <row r="303" spans="2:6" ht="12.75">
      <c r="B303" s="87">
        <f t="shared" si="21"/>
        <v>256</v>
      </c>
      <c r="C303" s="86">
        <f t="shared" si="18"/>
        <v>0</v>
      </c>
      <c r="D303" s="85">
        <f t="shared" si="19"/>
        <v>0</v>
      </c>
      <c r="E303" s="105">
        <f t="shared" si="20"/>
        <v>0</v>
      </c>
      <c r="F303" s="104"/>
    </row>
    <row r="304" spans="2:6" ht="12.75">
      <c r="B304" s="87">
        <f t="shared" si="21"/>
        <v>257</v>
      </c>
      <c r="C304" s="86">
        <f t="shared" si="18"/>
        <v>0</v>
      </c>
      <c r="D304" s="85">
        <f t="shared" si="19"/>
        <v>0</v>
      </c>
      <c r="E304" s="105">
        <f t="shared" si="20"/>
        <v>0</v>
      </c>
      <c r="F304" s="104"/>
    </row>
    <row r="305" spans="2:6" ht="12.75">
      <c r="B305" s="87">
        <f t="shared" si="21"/>
        <v>258</v>
      </c>
      <c r="C305" s="86">
        <f t="shared" si="18"/>
        <v>0</v>
      </c>
      <c r="D305" s="85">
        <f t="shared" si="19"/>
        <v>0</v>
      </c>
      <c r="E305" s="105">
        <f t="shared" si="20"/>
        <v>0</v>
      </c>
      <c r="F305" s="104"/>
    </row>
    <row r="306" spans="2:6" ht="12.75">
      <c r="B306" s="87">
        <f t="shared" si="21"/>
        <v>259</v>
      </c>
      <c r="C306" s="86">
        <f t="shared" si="18"/>
        <v>0</v>
      </c>
      <c r="D306" s="85">
        <f t="shared" si="19"/>
        <v>0</v>
      </c>
      <c r="E306" s="105">
        <f t="shared" si="20"/>
        <v>0</v>
      </c>
      <c r="F306" s="104"/>
    </row>
    <row r="307" spans="2:6" ht="12.75">
      <c r="B307" s="87">
        <f t="shared" si="21"/>
        <v>260</v>
      </c>
      <c r="C307" s="86">
        <f t="shared" si="18"/>
        <v>0</v>
      </c>
      <c r="D307" s="85">
        <f t="shared" si="19"/>
        <v>0</v>
      </c>
      <c r="E307" s="105">
        <f t="shared" si="20"/>
        <v>0</v>
      </c>
      <c r="F307" s="104"/>
    </row>
    <row r="308" spans="2:6" ht="12.75">
      <c r="B308" s="87">
        <f t="shared" si="21"/>
        <v>261</v>
      </c>
      <c r="C308" s="86">
        <f t="shared" si="18"/>
        <v>0</v>
      </c>
      <c r="D308" s="85">
        <f t="shared" si="19"/>
        <v>0</v>
      </c>
      <c r="E308" s="105">
        <f t="shared" si="20"/>
        <v>0</v>
      </c>
      <c r="F308" s="104"/>
    </row>
    <row r="309" spans="2:6" ht="12.75">
      <c r="B309" s="87">
        <f t="shared" si="21"/>
        <v>262</v>
      </c>
      <c r="C309" s="86">
        <f t="shared" si="18"/>
        <v>0</v>
      </c>
      <c r="D309" s="85">
        <f t="shared" si="19"/>
        <v>0</v>
      </c>
      <c r="E309" s="105">
        <f t="shared" si="20"/>
        <v>0</v>
      </c>
      <c r="F309" s="104"/>
    </row>
    <row r="310" spans="2:6" ht="12.75">
      <c r="B310" s="87">
        <f t="shared" si="21"/>
        <v>263</v>
      </c>
      <c r="C310" s="86">
        <f t="shared" si="18"/>
        <v>0</v>
      </c>
      <c r="D310" s="85">
        <f t="shared" si="19"/>
        <v>0</v>
      </c>
      <c r="E310" s="105">
        <f t="shared" si="20"/>
        <v>0</v>
      </c>
      <c r="F310" s="104"/>
    </row>
    <row r="311" spans="2:6" ht="12.75">
      <c r="B311" s="87">
        <f t="shared" si="21"/>
        <v>264</v>
      </c>
      <c r="C311" s="86">
        <f t="shared" si="18"/>
        <v>0</v>
      </c>
      <c r="D311" s="85">
        <f t="shared" si="19"/>
        <v>0</v>
      </c>
      <c r="E311" s="105">
        <f t="shared" si="20"/>
        <v>0</v>
      </c>
      <c r="F311" s="104">
        <f>SUM(D253:D311)+SUM(E253:E311)</f>
        <v>0</v>
      </c>
    </row>
    <row r="312" spans="2:6" ht="12.75">
      <c r="B312" s="84" t="s">
        <v>647</v>
      </c>
    </row>
    <row r="313" spans="2:6" ht="12.75">
      <c r="B313" s="87">
        <v>190</v>
      </c>
      <c r="C313" s="86">
        <f t="shared" ref="C313:C349" si="22">IF(ISERROR(VLOOKUP(B313,B$76:E$98,2,FALSE)),0,(VLOOKUP(B313,B$76:E$98,2,FALSE)))</f>
        <v>0</v>
      </c>
      <c r="D313" s="85">
        <f t="shared" ref="D313:D349" si="23">IF(ISERROR(VLOOKUP(B313,B$76:D$98,3,FALSE)),0,(VLOOKUP(B313,B$76:D$98,3,FALSE)))</f>
        <v>0</v>
      </c>
      <c r="E313" s="85">
        <f t="shared" ref="E313:E349" si="24">IF(ISERROR(VLOOKUP(B313,B$76:E$98,4,FALSE)),0,(VLOOKUP(B313,B$76:E$98,4,FALSE)))</f>
        <v>0</v>
      </c>
    </row>
    <row r="314" spans="2:6" ht="12.75">
      <c r="B314" s="87">
        <f t="shared" ref="B314:B328" si="25">B313+1</f>
        <v>191</v>
      </c>
      <c r="C314" s="86">
        <f t="shared" si="22"/>
        <v>0</v>
      </c>
      <c r="D314" s="85">
        <f t="shared" si="23"/>
        <v>0</v>
      </c>
      <c r="E314" s="85">
        <f t="shared" si="24"/>
        <v>0</v>
      </c>
    </row>
    <row r="315" spans="2:6" ht="12.75">
      <c r="B315" s="87">
        <f t="shared" si="25"/>
        <v>192</v>
      </c>
      <c r="C315" s="86">
        <f t="shared" si="22"/>
        <v>0</v>
      </c>
      <c r="D315" s="85">
        <f t="shared" si="23"/>
        <v>0</v>
      </c>
      <c r="E315" s="85">
        <f t="shared" si="24"/>
        <v>0</v>
      </c>
    </row>
    <row r="316" spans="2:6" ht="12.75">
      <c r="B316" s="87">
        <f t="shared" si="25"/>
        <v>193</v>
      </c>
      <c r="C316" s="86">
        <f t="shared" si="22"/>
        <v>0</v>
      </c>
      <c r="D316" s="85">
        <f t="shared" si="23"/>
        <v>0</v>
      </c>
      <c r="E316" s="85">
        <f t="shared" si="24"/>
        <v>0</v>
      </c>
    </row>
    <row r="317" spans="2:6" ht="12.75">
      <c r="B317" s="87">
        <f t="shared" si="25"/>
        <v>194</v>
      </c>
      <c r="C317" s="86">
        <f t="shared" si="22"/>
        <v>0</v>
      </c>
      <c r="D317" s="85">
        <f t="shared" si="23"/>
        <v>0</v>
      </c>
      <c r="E317" s="85">
        <f t="shared" si="24"/>
        <v>0</v>
      </c>
    </row>
    <row r="318" spans="2:6" ht="12.75">
      <c r="B318" s="87">
        <f t="shared" si="25"/>
        <v>195</v>
      </c>
      <c r="C318" s="86">
        <f t="shared" si="22"/>
        <v>0</v>
      </c>
      <c r="D318" s="85">
        <f t="shared" si="23"/>
        <v>0</v>
      </c>
      <c r="E318" s="85">
        <f t="shared" si="24"/>
        <v>0</v>
      </c>
    </row>
    <row r="319" spans="2:6" ht="12.75">
      <c r="B319" s="87">
        <f t="shared" si="25"/>
        <v>196</v>
      </c>
      <c r="C319" s="86">
        <f t="shared" si="22"/>
        <v>0</v>
      </c>
      <c r="D319" s="85">
        <f t="shared" si="23"/>
        <v>0</v>
      </c>
      <c r="E319" s="85">
        <f t="shared" si="24"/>
        <v>0</v>
      </c>
    </row>
    <row r="320" spans="2:6" ht="12.75">
      <c r="B320" s="87">
        <f t="shared" si="25"/>
        <v>197</v>
      </c>
      <c r="C320" s="86">
        <f t="shared" si="22"/>
        <v>0</v>
      </c>
      <c r="D320" s="85">
        <f t="shared" si="23"/>
        <v>0</v>
      </c>
      <c r="E320" s="85">
        <f t="shared" si="24"/>
        <v>0</v>
      </c>
    </row>
    <row r="321" spans="2:5" ht="12.75">
      <c r="B321" s="87">
        <f t="shared" si="25"/>
        <v>198</v>
      </c>
      <c r="C321" s="86">
        <f t="shared" si="22"/>
        <v>0</v>
      </c>
      <c r="D321" s="85">
        <f t="shared" si="23"/>
        <v>0</v>
      </c>
      <c r="E321" s="85">
        <f t="shared" si="24"/>
        <v>0</v>
      </c>
    </row>
    <row r="322" spans="2:5" ht="12.75">
      <c r="B322" s="87">
        <f t="shared" si="25"/>
        <v>199</v>
      </c>
      <c r="C322" s="86">
        <f t="shared" si="22"/>
        <v>0</v>
      </c>
      <c r="D322" s="85">
        <f t="shared" si="23"/>
        <v>0</v>
      </c>
      <c r="E322" s="85">
        <f t="shared" si="24"/>
        <v>0</v>
      </c>
    </row>
    <row r="323" spans="2:5" ht="12.75">
      <c r="B323" s="87">
        <f t="shared" si="25"/>
        <v>200</v>
      </c>
      <c r="C323" s="86">
        <f t="shared" si="22"/>
        <v>0</v>
      </c>
      <c r="D323" s="85">
        <f t="shared" si="23"/>
        <v>0</v>
      </c>
      <c r="E323" s="85">
        <f t="shared" si="24"/>
        <v>0</v>
      </c>
    </row>
    <row r="324" spans="2:5" ht="12.75">
      <c r="B324" s="87">
        <f t="shared" si="25"/>
        <v>201</v>
      </c>
      <c r="C324" s="86">
        <f t="shared" si="22"/>
        <v>0</v>
      </c>
      <c r="D324" s="85">
        <f t="shared" si="23"/>
        <v>0</v>
      </c>
      <c r="E324" s="85">
        <f t="shared" si="24"/>
        <v>0</v>
      </c>
    </row>
    <row r="325" spans="2:5" ht="12.75">
      <c r="B325" s="87">
        <f t="shared" si="25"/>
        <v>202</v>
      </c>
      <c r="C325" s="86">
        <f t="shared" si="22"/>
        <v>0</v>
      </c>
      <c r="D325" s="85">
        <f t="shared" si="23"/>
        <v>0</v>
      </c>
      <c r="E325" s="85">
        <f t="shared" si="24"/>
        <v>0</v>
      </c>
    </row>
    <row r="326" spans="2:5" ht="12.75">
      <c r="B326" s="87">
        <f t="shared" si="25"/>
        <v>203</v>
      </c>
      <c r="C326" s="86">
        <f t="shared" si="22"/>
        <v>0</v>
      </c>
      <c r="D326" s="85">
        <f t="shared" si="23"/>
        <v>0</v>
      </c>
      <c r="E326" s="85">
        <f t="shared" si="24"/>
        <v>0</v>
      </c>
    </row>
    <row r="327" spans="2:5" ht="12.75">
      <c r="B327" s="87">
        <f t="shared" si="25"/>
        <v>204</v>
      </c>
      <c r="C327" s="86">
        <f t="shared" si="22"/>
        <v>0</v>
      </c>
      <c r="D327" s="85">
        <f t="shared" si="23"/>
        <v>0</v>
      </c>
      <c r="E327" s="85">
        <f t="shared" si="24"/>
        <v>0</v>
      </c>
    </row>
    <row r="328" spans="2:5" ht="12.75">
      <c r="B328" s="87">
        <f t="shared" si="25"/>
        <v>205</v>
      </c>
      <c r="C328" s="86">
        <f t="shared" si="22"/>
        <v>0</v>
      </c>
      <c r="D328" s="85">
        <f t="shared" si="23"/>
        <v>0</v>
      </c>
      <c r="E328" s="85">
        <f t="shared" si="24"/>
        <v>0</v>
      </c>
    </row>
    <row r="329" spans="2:5" ht="12.75">
      <c r="B329" s="87">
        <v>222</v>
      </c>
      <c r="C329" s="86">
        <f t="shared" si="22"/>
        <v>0</v>
      </c>
      <c r="D329" s="85">
        <f t="shared" si="23"/>
        <v>0</v>
      </c>
      <c r="E329" s="85">
        <f t="shared" si="24"/>
        <v>0</v>
      </c>
    </row>
    <row r="330" spans="2:5" ht="12.75">
      <c r="B330" s="87">
        <v>230</v>
      </c>
      <c r="C330" s="86">
        <f t="shared" si="22"/>
        <v>0</v>
      </c>
      <c r="D330" s="85">
        <f t="shared" si="23"/>
        <v>0</v>
      </c>
      <c r="E330" s="85">
        <f t="shared" si="24"/>
        <v>0</v>
      </c>
    </row>
    <row r="331" spans="2:5" ht="12.75">
      <c r="B331" s="87">
        <v>238</v>
      </c>
      <c r="C331" s="86">
        <f t="shared" si="22"/>
        <v>0</v>
      </c>
      <c r="D331" s="85">
        <f t="shared" si="23"/>
        <v>0</v>
      </c>
      <c r="E331" s="85">
        <f t="shared" si="24"/>
        <v>0</v>
      </c>
    </row>
    <row r="332" spans="2:5" ht="12.75">
      <c r="B332" s="87">
        <v>239</v>
      </c>
      <c r="C332" s="86">
        <f t="shared" si="22"/>
        <v>0</v>
      </c>
      <c r="D332" s="85">
        <f t="shared" si="23"/>
        <v>0</v>
      </c>
      <c r="E332" s="85">
        <f t="shared" si="24"/>
        <v>0</v>
      </c>
    </row>
    <row r="333" spans="2:5" ht="12.75">
      <c r="B333" s="87">
        <v>240</v>
      </c>
      <c r="C333" s="86">
        <f t="shared" si="22"/>
        <v>0</v>
      </c>
      <c r="D333" s="85">
        <f t="shared" si="23"/>
        <v>0</v>
      </c>
      <c r="E333" s="85">
        <f t="shared" si="24"/>
        <v>0</v>
      </c>
    </row>
    <row r="334" spans="2:5" ht="12.75">
      <c r="B334" s="87">
        <v>241</v>
      </c>
      <c r="C334" s="86">
        <f t="shared" si="22"/>
        <v>0</v>
      </c>
      <c r="D334" s="85">
        <f t="shared" si="23"/>
        <v>0</v>
      </c>
      <c r="E334" s="85">
        <f t="shared" si="24"/>
        <v>0</v>
      </c>
    </row>
    <row r="335" spans="2:5" ht="12.75">
      <c r="B335" s="87">
        <v>242</v>
      </c>
      <c r="C335" s="86">
        <f t="shared" si="22"/>
        <v>0</v>
      </c>
      <c r="D335" s="85">
        <f t="shared" si="23"/>
        <v>0</v>
      </c>
      <c r="E335" s="85">
        <f t="shared" si="24"/>
        <v>0</v>
      </c>
    </row>
    <row r="336" spans="2:5" ht="12.75">
      <c r="B336" s="87">
        <v>243</v>
      </c>
      <c r="C336" s="86">
        <f t="shared" si="22"/>
        <v>0</v>
      </c>
      <c r="D336" s="85">
        <f t="shared" si="23"/>
        <v>0</v>
      </c>
      <c r="E336" s="85">
        <f t="shared" si="24"/>
        <v>0</v>
      </c>
    </row>
    <row r="337" spans="2:6" ht="12.75">
      <c r="B337" s="87">
        <v>246</v>
      </c>
      <c r="C337" s="86">
        <f t="shared" si="22"/>
        <v>0</v>
      </c>
      <c r="D337" s="85">
        <f t="shared" si="23"/>
        <v>0</v>
      </c>
      <c r="E337" s="85">
        <f t="shared" si="24"/>
        <v>0</v>
      </c>
    </row>
    <row r="338" spans="2:6" ht="12.75">
      <c r="B338" s="87">
        <v>247</v>
      </c>
      <c r="C338" s="86">
        <f t="shared" si="22"/>
        <v>0</v>
      </c>
      <c r="D338" s="85">
        <f t="shared" si="23"/>
        <v>0</v>
      </c>
      <c r="E338" s="85">
        <f t="shared" si="24"/>
        <v>0</v>
      </c>
    </row>
    <row r="339" spans="2:6" ht="12.75">
      <c r="B339" s="87">
        <v>214</v>
      </c>
      <c r="C339" s="86">
        <f t="shared" si="22"/>
        <v>0</v>
      </c>
      <c r="D339" s="85">
        <f t="shared" si="23"/>
        <v>0</v>
      </c>
      <c r="E339" s="85">
        <f t="shared" si="24"/>
        <v>0</v>
      </c>
    </row>
    <row r="340" spans="2:6" ht="12.75">
      <c r="B340" s="87">
        <v>215</v>
      </c>
      <c r="C340" s="86">
        <f t="shared" si="22"/>
        <v>0</v>
      </c>
      <c r="D340" s="85">
        <f t="shared" si="23"/>
        <v>0</v>
      </c>
      <c r="E340" s="85">
        <f t="shared" si="24"/>
        <v>0</v>
      </c>
    </row>
    <row r="341" spans="2:6" ht="12.75">
      <c r="B341" s="87">
        <v>216</v>
      </c>
      <c r="C341" s="86">
        <f t="shared" si="22"/>
        <v>0</v>
      </c>
      <c r="D341" s="85">
        <f t="shared" si="23"/>
        <v>0</v>
      </c>
      <c r="E341" s="85">
        <f t="shared" si="24"/>
        <v>0</v>
      </c>
    </row>
    <row r="342" spans="2:6" ht="12.75">
      <c r="B342" s="87">
        <v>217</v>
      </c>
      <c r="C342" s="86">
        <f t="shared" si="22"/>
        <v>0</v>
      </c>
      <c r="D342" s="85">
        <f t="shared" si="23"/>
        <v>0</v>
      </c>
      <c r="E342" s="85">
        <f t="shared" si="24"/>
        <v>0</v>
      </c>
    </row>
    <row r="343" spans="2:6" ht="12.75">
      <c r="B343" s="87">
        <v>218</v>
      </c>
      <c r="C343" s="86">
        <f t="shared" si="22"/>
        <v>0</v>
      </c>
      <c r="D343" s="85">
        <f t="shared" si="23"/>
        <v>0</v>
      </c>
      <c r="E343" s="85">
        <f t="shared" si="24"/>
        <v>0</v>
      </c>
    </row>
    <row r="344" spans="2:6" ht="12.75">
      <c r="B344" s="87">
        <v>219</v>
      </c>
      <c r="C344" s="86">
        <f t="shared" si="22"/>
        <v>0</v>
      </c>
      <c r="D344" s="85">
        <f t="shared" si="23"/>
        <v>0</v>
      </c>
      <c r="E344" s="85">
        <f t="shared" si="24"/>
        <v>0</v>
      </c>
    </row>
    <row r="345" spans="2:6" ht="12.75">
      <c r="B345" s="87">
        <v>220</v>
      </c>
      <c r="C345" s="86">
        <f t="shared" si="22"/>
        <v>0</v>
      </c>
      <c r="D345" s="85">
        <f t="shared" si="23"/>
        <v>0</v>
      </c>
      <c r="E345" s="85">
        <f t="shared" si="24"/>
        <v>0</v>
      </c>
    </row>
    <row r="346" spans="2:6" ht="12.75">
      <c r="B346" s="87">
        <v>223</v>
      </c>
      <c r="C346" s="86">
        <f t="shared" si="22"/>
        <v>0</v>
      </c>
      <c r="D346" s="85">
        <f t="shared" si="23"/>
        <v>0</v>
      </c>
      <c r="E346" s="85">
        <f t="shared" si="24"/>
        <v>0</v>
      </c>
    </row>
    <row r="347" spans="2:6" ht="12.75">
      <c r="B347" s="87">
        <v>232</v>
      </c>
      <c r="C347" s="86">
        <f t="shared" si="22"/>
        <v>0</v>
      </c>
      <c r="D347" s="85">
        <f t="shared" si="23"/>
        <v>0</v>
      </c>
      <c r="E347" s="85">
        <f t="shared" si="24"/>
        <v>0</v>
      </c>
    </row>
    <row r="348" spans="2:6" ht="12.75">
      <c r="B348" s="87">
        <v>244</v>
      </c>
      <c r="C348" s="86">
        <f t="shared" si="22"/>
        <v>0</v>
      </c>
      <c r="D348" s="85">
        <f t="shared" si="23"/>
        <v>0</v>
      </c>
      <c r="E348" s="85">
        <f t="shared" si="24"/>
        <v>0</v>
      </c>
    </row>
    <row r="349" spans="2:6" ht="12.75">
      <c r="B349" s="90">
        <v>245</v>
      </c>
      <c r="C349" s="89">
        <f t="shared" si="22"/>
        <v>0</v>
      </c>
      <c r="D349" s="88">
        <f t="shared" si="23"/>
        <v>0</v>
      </c>
      <c r="E349" s="88">
        <f t="shared" si="24"/>
        <v>0</v>
      </c>
      <c r="F349" s="103">
        <f>SUM(D313:D349)+SUM(E313:E349)</f>
        <v>0</v>
      </c>
    </row>
    <row r="350" spans="2:6" ht="12.75">
      <c r="B350" s="102" t="s">
        <v>646</v>
      </c>
      <c r="C350" s="101"/>
      <c r="D350" s="100"/>
      <c r="E350" s="100"/>
    </row>
    <row r="351" spans="2:6" ht="12.75">
      <c r="B351" s="99">
        <v>127</v>
      </c>
      <c r="C351" s="98"/>
      <c r="D351" s="97"/>
      <c r="E351" s="97"/>
      <c r="F351" s="85"/>
    </row>
    <row r="352" spans="2:6" ht="12.75">
      <c r="B352" s="87">
        <v>131</v>
      </c>
      <c r="C352" s="86"/>
      <c r="D352" s="85"/>
      <c r="E352" s="85"/>
      <c r="F352" s="85"/>
    </row>
    <row r="353" spans="2:6" ht="12.75">
      <c r="B353" s="87">
        <f t="shared" ref="B353:B381" si="26">B352+1</f>
        <v>132</v>
      </c>
      <c r="C353" s="86"/>
      <c r="D353" s="85"/>
      <c r="E353" s="85"/>
      <c r="F353" s="85"/>
    </row>
    <row r="354" spans="2:6" ht="12.75">
      <c r="B354" s="87">
        <f t="shared" si="26"/>
        <v>133</v>
      </c>
      <c r="C354" s="86"/>
      <c r="D354" s="85"/>
      <c r="E354" s="85"/>
      <c r="F354" s="85"/>
    </row>
    <row r="355" spans="2:6" ht="12.75">
      <c r="B355" s="87">
        <f t="shared" si="26"/>
        <v>134</v>
      </c>
      <c r="C355" s="86"/>
      <c r="D355" s="85"/>
      <c r="E355" s="85"/>
      <c r="F355" s="85"/>
    </row>
    <row r="356" spans="2:6" ht="12.75">
      <c r="B356" s="87">
        <f t="shared" si="26"/>
        <v>135</v>
      </c>
      <c r="C356" s="86"/>
      <c r="D356" s="85"/>
      <c r="E356" s="85"/>
      <c r="F356" s="85"/>
    </row>
    <row r="357" spans="2:6" ht="12.75">
      <c r="B357" s="87">
        <f t="shared" si="26"/>
        <v>136</v>
      </c>
      <c r="C357" s="86"/>
      <c r="D357" s="85"/>
      <c r="E357" s="85"/>
      <c r="F357" s="85"/>
    </row>
    <row r="358" spans="2:6" ht="12.75">
      <c r="B358" s="87">
        <f t="shared" si="26"/>
        <v>137</v>
      </c>
      <c r="C358" s="86"/>
      <c r="D358" s="85"/>
      <c r="E358" s="85"/>
      <c r="F358" s="85"/>
    </row>
    <row r="359" spans="2:6" ht="12.75">
      <c r="B359" s="87">
        <f t="shared" si="26"/>
        <v>138</v>
      </c>
      <c r="C359" s="86"/>
      <c r="D359" s="85"/>
      <c r="E359" s="85"/>
      <c r="F359" s="85"/>
    </row>
    <row r="360" spans="2:6" ht="12.75">
      <c r="B360" s="87">
        <f t="shared" si="26"/>
        <v>139</v>
      </c>
      <c r="C360" s="86"/>
      <c r="D360" s="85"/>
      <c r="E360" s="85"/>
      <c r="F360" s="85"/>
    </row>
    <row r="361" spans="2:6" ht="12.75">
      <c r="B361" s="87">
        <f t="shared" si="26"/>
        <v>140</v>
      </c>
      <c r="C361" s="86"/>
      <c r="D361" s="85"/>
      <c r="E361" s="85"/>
      <c r="F361" s="85"/>
    </row>
    <row r="362" spans="2:6" ht="12.75">
      <c r="B362" s="87">
        <f t="shared" si="26"/>
        <v>141</v>
      </c>
      <c r="C362" s="86"/>
      <c r="D362" s="85"/>
      <c r="E362" s="85"/>
      <c r="F362" s="85"/>
    </row>
    <row r="363" spans="2:6" ht="12.75">
      <c r="B363" s="87">
        <f t="shared" si="26"/>
        <v>142</v>
      </c>
      <c r="C363" s="86"/>
      <c r="D363" s="85"/>
      <c r="E363" s="85"/>
      <c r="F363" s="85"/>
    </row>
    <row r="364" spans="2:6" ht="12.75">
      <c r="B364" s="87">
        <f t="shared" si="26"/>
        <v>143</v>
      </c>
      <c r="C364" s="86"/>
      <c r="D364" s="85"/>
      <c r="E364" s="85"/>
      <c r="F364" s="85"/>
    </row>
    <row r="365" spans="2:6" ht="12.75">
      <c r="B365" s="87">
        <f t="shared" si="26"/>
        <v>144</v>
      </c>
      <c r="C365" s="86"/>
      <c r="D365" s="85"/>
      <c r="E365" s="85"/>
      <c r="F365" s="85"/>
    </row>
    <row r="366" spans="2:6" ht="12.75">
      <c r="B366" s="87">
        <f t="shared" si="26"/>
        <v>145</v>
      </c>
      <c r="C366" s="86"/>
      <c r="D366" s="85"/>
      <c r="E366" s="85"/>
      <c r="F366" s="85"/>
    </row>
    <row r="367" spans="2:6" ht="12.75">
      <c r="B367" s="87">
        <f t="shared" si="26"/>
        <v>146</v>
      </c>
      <c r="C367" s="86"/>
      <c r="D367" s="85"/>
      <c r="E367" s="85"/>
      <c r="F367" s="85"/>
    </row>
    <row r="368" spans="2:6" ht="12.75">
      <c r="B368" s="87">
        <f t="shared" si="26"/>
        <v>147</v>
      </c>
      <c r="C368" s="86"/>
      <c r="D368" s="85"/>
      <c r="E368" s="85"/>
      <c r="F368" s="85"/>
    </row>
    <row r="369" spans="2:6" ht="12.75">
      <c r="B369" s="87">
        <f t="shared" si="26"/>
        <v>148</v>
      </c>
      <c r="C369" s="86"/>
      <c r="D369" s="85"/>
      <c r="E369" s="85"/>
      <c r="F369" s="85"/>
    </row>
    <row r="370" spans="2:6" ht="12.75">
      <c r="B370" s="87">
        <f t="shared" si="26"/>
        <v>149</v>
      </c>
      <c r="C370" s="86"/>
      <c r="D370" s="85"/>
      <c r="E370" s="85"/>
      <c r="F370" s="85"/>
    </row>
    <row r="371" spans="2:6" ht="12.75">
      <c r="B371" s="87">
        <f t="shared" si="26"/>
        <v>150</v>
      </c>
      <c r="C371" s="86"/>
      <c r="D371" s="85"/>
      <c r="E371" s="85"/>
      <c r="F371" s="85"/>
    </row>
    <row r="372" spans="2:6" ht="12.75">
      <c r="B372" s="87">
        <f t="shared" si="26"/>
        <v>151</v>
      </c>
      <c r="C372" s="86"/>
      <c r="D372" s="85"/>
      <c r="E372" s="85"/>
      <c r="F372" s="85"/>
    </row>
    <row r="373" spans="2:6" ht="12.75">
      <c r="B373" s="87">
        <f t="shared" si="26"/>
        <v>152</v>
      </c>
      <c r="C373" s="86"/>
      <c r="D373" s="85"/>
      <c r="E373" s="85"/>
      <c r="F373" s="85"/>
    </row>
    <row r="374" spans="2:6" ht="12.75">
      <c r="B374" s="87">
        <f t="shared" si="26"/>
        <v>153</v>
      </c>
      <c r="C374" s="86"/>
      <c r="D374" s="85"/>
      <c r="E374" s="85"/>
      <c r="F374" s="85"/>
    </row>
    <row r="375" spans="2:6" ht="12.75">
      <c r="B375" s="87">
        <f t="shared" si="26"/>
        <v>154</v>
      </c>
      <c r="C375" s="86"/>
      <c r="D375" s="85"/>
      <c r="E375" s="85"/>
      <c r="F375" s="85"/>
    </row>
    <row r="376" spans="2:6" ht="12.75">
      <c r="B376" s="87">
        <f t="shared" si="26"/>
        <v>155</v>
      </c>
      <c r="C376" s="86"/>
      <c r="D376" s="85"/>
      <c r="E376" s="85"/>
      <c r="F376" s="85"/>
    </row>
    <row r="377" spans="2:6" ht="12.75">
      <c r="B377" s="87">
        <f t="shared" si="26"/>
        <v>156</v>
      </c>
      <c r="C377" s="86"/>
      <c r="D377" s="85"/>
      <c r="E377" s="85"/>
      <c r="F377" s="85"/>
    </row>
    <row r="378" spans="2:6" ht="12.75">
      <c r="B378" s="87">
        <f t="shared" si="26"/>
        <v>157</v>
      </c>
      <c r="C378" s="86"/>
      <c r="D378" s="85"/>
      <c r="E378" s="85"/>
      <c r="F378" s="85"/>
    </row>
    <row r="379" spans="2:6" ht="12.75">
      <c r="B379" s="87">
        <f t="shared" si="26"/>
        <v>158</v>
      </c>
      <c r="C379" s="86"/>
      <c r="D379" s="85"/>
      <c r="E379" s="85"/>
      <c r="F379" s="85"/>
    </row>
    <row r="380" spans="2:6" ht="12.75">
      <c r="B380" s="87">
        <f t="shared" si="26"/>
        <v>159</v>
      </c>
      <c r="C380" s="86"/>
      <c r="D380" s="85"/>
      <c r="E380" s="85"/>
      <c r="F380" s="85"/>
    </row>
    <row r="381" spans="2:6" ht="12.75">
      <c r="B381" s="87">
        <f t="shared" si="26"/>
        <v>160</v>
      </c>
      <c r="C381" s="86"/>
      <c r="D381" s="85"/>
      <c r="E381" s="85"/>
      <c r="F381" s="85"/>
    </row>
    <row r="382" spans="2:6" ht="12.75">
      <c r="B382" s="87">
        <v>162</v>
      </c>
      <c r="C382" s="86"/>
      <c r="D382" s="85"/>
      <c r="E382" s="85"/>
      <c r="F382" s="85"/>
    </row>
    <row r="383" spans="2:6" ht="12.75">
      <c r="B383" s="87">
        <f t="shared" ref="B383:B401" si="27">B382+1</f>
        <v>163</v>
      </c>
      <c r="C383" s="86"/>
      <c r="D383" s="85"/>
      <c r="E383" s="85"/>
      <c r="F383" s="85"/>
    </row>
    <row r="384" spans="2:6" ht="12.75">
      <c r="B384" s="87">
        <f t="shared" si="27"/>
        <v>164</v>
      </c>
      <c r="C384" s="86"/>
      <c r="D384" s="85"/>
      <c r="E384" s="85"/>
      <c r="F384" s="85"/>
    </row>
    <row r="385" spans="2:6" ht="12.75">
      <c r="B385" s="87">
        <f t="shared" si="27"/>
        <v>165</v>
      </c>
      <c r="C385" s="86"/>
      <c r="D385" s="85"/>
      <c r="E385" s="85"/>
      <c r="F385" s="85"/>
    </row>
    <row r="386" spans="2:6" ht="12.75">
      <c r="B386" s="87">
        <f t="shared" si="27"/>
        <v>166</v>
      </c>
      <c r="C386" s="86"/>
      <c r="D386" s="85"/>
      <c r="E386" s="85"/>
      <c r="F386" s="85"/>
    </row>
    <row r="387" spans="2:6" ht="12.75">
      <c r="B387" s="87">
        <f t="shared" si="27"/>
        <v>167</v>
      </c>
      <c r="C387" s="86"/>
      <c r="D387" s="85"/>
      <c r="E387" s="85"/>
      <c r="F387" s="85"/>
    </row>
    <row r="388" spans="2:6" ht="12.75">
      <c r="B388" s="87">
        <f t="shared" si="27"/>
        <v>168</v>
      </c>
      <c r="C388" s="86"/>
      <c r="D388" s="85"/>
      <c r="E388" s="85"/>
      <c r="F388" s="85"/>
    </row>
    <row r="389" spans="2:6" ht="12.75">
      <c r="B389" s="87">
        <f t="shared" si="27"/>
        <v>169</v>
      </c>
      <c r="C389" s="86"/>
      <c r="D389" s="85"/>
      <c r="E389" s="85"/>
      <c r="F389" s="85"/>
    </row>
    <row r="390" spans="2:6" ht="12.75">
      <c r="B390" s="87">
        <f t="shared" si="27"/>
        <v>170</v>
      </c>
      <c r="C390" s="86"/>
      <c r="D390" s="85"/>
      <c r="E390" s="85"/>
      <c r="F390" s="85"/>
    </row>
    <row r="391" spans="2:6" ht="12.75">
      <c r="B391" s="87">
        <f t="shared" si="27"/>
        <v>171</v>
      </c>
      <c r="C391" s="86"/>
      <c r="D391" s="85"/>
      <c r="E391" s="85"/>
      <c r="F391" s="85"/>
    </row>
    <row r="392" spans="2:6" ht="12.75">
      <c r="B392" s="87">
        <f t="shared" si="27"/>
        <v>172</v>
      </c>
      <c r="C392" s="86"/>
      <c r="D392" s="85"/>
      <c r="E392" s="85"/>
      <c r="F392" s="85"/>
    </row>
    <row r="393" spans="2:6" ht="12.75">
      <c r="B393" s="87">
        <f t="shared" si="27"/>
        <v>173</v>
      </c>
      <c r="C393" s="86"/>
      <c r="D393" s="85"/>
      <c r="E393" s="85"/>
      <c r="F393" s="85"/>
    </row>
    <row r="394" spans="2:6" ht="12.75">
      <c r="B394" s="87">
        <f t="shared" si="27"/>
        <v>174</v>
      </c>
      <c r="C394" s="86"/>
      <c r="D394" s="85"/>
      <c r="E394" s="85"/>
      <c r="F394" s="85"/>
    </row>
    <row r="395" spans="2:6" ht="12.75">
      <c r="B395" s="87">
        <f t="shared" si="27"/>
        <v>175</v>
      </c>
      <c r="C395" s="86"/>
      <c r="D395" s="85"/>
      <c r="E395" s="85"/>
      <c r="F395" s="85"/>
    </row>
    <row r="396" spans="2:6" ht="12.75">
      <c r="B396" s="87">
        <f t="shared" si="27"/>
        <v>176</v>
      </c>
      <c r="C396" s="86"/>
      <c r="D396" s="85"/>
      <c r="E396" s="85"/>
      <c r="F396" s="85"/>
    </row>
    <row r="397" spans="2:6" ht="12.75">
      <c r="B397" s="87">
        <f t="shared" si="27"/>
        <v>177</v>
      </c>
      <c r="C397" s="86"/>
      <c r="D397" s="85"/>
      <c r="E397" s="85"/>
      <c r="F397" s="85"/>
    </row>
    <row r="398" spans="2:6" ht="12.75">
      <c r="B398" s="87">
        <f t="shared" si="27"/>
        <v>178</v>
      </c>
      <c r="C398" s="86"/>
      <c r="D398" s="85"/>
      <c r="E398" s="85"/>
      <c r="F398" s="85"/>
    </row>
    <row r="399" spans="2:6" ht="12.75">
      <c r="B399" s="87">
        <f t="shared" si="27"/>
        <v>179</v>
      </c>
      <c r="C399" s="86"/>
      <c r="D399" s="85"/>
      <c r="E399" s="85"/>
      <c r="F399" s="85"/>
    </row>
    <row r="400" spans="2:6" ht="12.75">
      <c r="B400" s="87">
        <f t="shared" si="27"/>
        <v>180</v>
      </c>
      <c r="C400" s="86"/>
      <c r="D400" s="85"/>
      <c r="E400" s="85"/>
      <c r="F400" s="85"/>
    </row>
    <row r="401" spans="2:6" ht="12.75">
      <c r="B401" s="87">
        <f t="shared" si="27"/>
        <v>181</v>
      </c>
      <c r="C401" s="86"/>
      <c r="D401" s="85"/>
      <c r="E401" s="85"/>
      <c r="F401" s="85"/>
    </row>
    <row r="402" spans="2:6" ht="12.75">
      <c r="B402" s="87">
        <v>233</v>
      </c>
      <c r="C402" s="86"/>
      <c r="D402" s="85"/>
      <c r="E402" s="85"/>
      <c r="F402" s="85"/>
    </row>
    <row r="403" spans="2:6" ht="12.75">
      <c r="B403" s="87">
        <v>234</v>
      </c>
      <c r="C403" s="86"/>
      <c r="D403" s="85"/>
      <c r="E403" s="85"/>
      <c r="F403" s="85"/>
    </row>
    <row r="404" spans="2:6" ht="12.75">
      <c r="B404" s="87">
        <v>235</v>
      </c>
      <c r="C404" s="86"/>
      <c r="D404" s="85"/>
      <c r="E404" s="85"/>
      <c r="F404" s="85"/>
    </row>
    <row r="405" spans="2:6" ht="12.75">
      <c r="B405" s="87">
        <v>250</v>
      </c>
      <c r="C405" s="86"/>
      <c r="D405" s="85"/>
      <c r="E405" s="85"/>
      <c r="F405" s="85"/>
    </row>
    <row r="406" spans="2:6" ht="12.75">
      <c r="B406" s="87">
        <f t="shared" ref="B406:B419" si="28">B405+1</f>
        <v>251</v>
      </c>
      <c r="C406" s="86"/>
      <c r="D406" s="85"/>
      <c r="E406" s="85"/>
      <c r="F406" s="85"/>
    </row>
    <row r="407" spans="2:6" ht="12.75">
      <c r="B407" s="87">
        <f t="shared" si="28"/>
        <v>252</v>
      </c>
      <c r="C407" s="86"/>
      <c r="D407" s="85"/>
      <c r="E407" s="85"/>
      <c r="F407" s="85"/>
    </row>
    <row r="408" spans="2:6" ht="12.75">
      <c r="B408" s="87">
        <f t="shared" si="28"/>
        <v>253</v>
      </c>
      <c r="C408" s="86"/>
      <c r="D408" s="85"/>
      <c r="E408" s="85"/>
      <c r="F408" s="85"/>
    </row>
    <row r="409" spans="2:6" ht="12.75">
      <c r="B409" s="87">
        <f t="shared" si="28"/>
        <v>254</v>
      </c>
      <c r="C409" s="86"/>
      <c r="D409" s="85"/>
      <c r="E409" s="85"/>
      <c r="F409" s="85"/>
    </row>
    <row r="410" spans="2:6" ht="12.75">
      <c r="B410" s="87">
        <f t="shared" si="28"/>
        <v>255</v>
      </c>
      <c r="C410" s="86"/>
      <c r="D410" s="85"/>
      <c r="E410" s="85"/>
      <c r="F410" s="85"/>
    </row>
    <row r="411" spans="2:6" ht="12.75">
      <c r="B411" s="87">
        <f t="shared" si="28"/>
        <v>256</v>
      </c>
      <c r="C411" s="86"/>
      <c r="D411" s="85"/>
      <c r="E411" s="85"/>
      <c r="F411" s="85"/>
    </row>
    <row r="412" spans="2:6" ht="12.75">
      <c r="B412" s="87">
        <f t="shared" si="28"/>
        <v>257</v>
      </c>
      <c r="C412" s="86"/>
      <c r="D412" s="85"/>
      <c r="E412" s="85"/>
      <c r="F412" s="85"/>
    </row>
    <row r="413" spans="2:6" ht="12.75">
      <c r="B413" s="87">
        <f t="shared" si="28"/>
        <v>258</v>
      </c>
      <c r="C413" s="86"/>
      <c r="D413" s="85"/>
      <c r="E413" s="85"/>
      <c r="F413" s="85"/>
    </row>
    <row r="414" spans="2:6" ht="12.75">
      <c r="B414" s="87">
        <f t="shared" si="28"/>
        <v>259</v>
      </c>
      <c r="C414" s="86"/>
      <c r="D414" s="85"/>
      <c r="E414" s="85"/>
      <c r="F414" s="85"/>
    </row>
    <row r="415" spans="2:6" ht="12.75">
      <c r="B415" s="87">
        <f t="shared" si="28"/>
        <v>260</v>
      </c>
      <c r="C415" s="86"/>
      <c r="D415" s="85"/>
      <c r="E415" s="85"/>
      <c r="F415" s="85"/>
    </row>
    <row r="416" spans="2:6" ht="12.75">
      <c r="B416" s="87">
        <f t="shared" si="28"/>
        <v>261</v>
      </c>
      <c r="C416" s="86"/>
      <c r="D416" s="85"/>
      <c r="E416" s="85"/>
      <c r="F416" s="85"/>
    </row>
    <row r="417" spans="2:6" ht="12.75">
      <c r="B417" s="87">
        <f t="shared" si="28"/>
        <v>262</v>
      </c>
      <c r="C417" s="86"/>
      <c r="D417" s="85"/>
      <c r="E417" s="85"/>
      <c r="F417" s="85"/>
    </row>
    <row r="418" spans="2:6" ht="12.75">
      <c r="B418" s="87">
        <f t="shared" si="28"/>
        <v>263</v>
      </c>
      <c r="C418" s="86"/>
      <c r="D418" s="85"/>
      <c r="E418" s="85"/>
      <c r="F418" s="85"/>
    </row>
    <row r="419" spans="2:6" ht="12.75">
      <c r="B419" s="90">
        <f t="shared" si="28"/>
        <v>264</v>
      </c>
      <c r="C419" s="89"/>
      <c r="D419" s="88"/>
      <c r="E419" s="88"/>
      <c r="F419" s="85"/>
    </row>
    <row r="420" spans="2:6" ht="12.75">
      <c r="B420" s="96"/>
      <c r="C420" s="95"/>
      <c r="D420" s="94"/>
      <c r="E420" s="94"/>
      <c r="F420" s="94"/>
    </row>
    <row r="421" spans="2:6" ht="12.75">
      <c r="B421" s="91" t="s">
        <v>645</v>
      </c>
      <c r="C421" s="93"/>
      <c r="D421" s="92"/>
      <c r="E421" s="92"/>
      <c r="F421" s="91"/>
    </row>
    <row r="422" spans="2:6" ht="12.75">
      <c r="B422" s="90">
        <v>111</v>
      </c>
      <c r="C422" s="89"/>
      <c r="D422" s="88"/>
      <c r="E422" s="88"/>
      <c r="F422" s="85"/>
    </row>
    <row r="423" spans="2:6" ht="12.75">
      <c r="B423" s="90">
        <f>B422+1</f>
        <v>112</v>
      </c>
      <c r="C423" s="89"/>
      <c r="D423" s="88"/>
      <c r="E423" s="88"/>
      <c r="F423" s="85"/>
    </row>
    <row r="424" spans="2:6" ht="12.75">
      <c r="B424" s="90">
        <f>B423+1</f>
        <v>113</v>
      </c>
      <c r="C424" s="89"/>
      <c r="D424" s="88"/>
      <c r="E424" s="88"/>
      <c r="F424" s="85"/>
    </row>
    <row r="425" spans="2:6" ht="12.75">
      <c r="B425" s="90">
        <f>B424+1</f>
        <v>114</v>
      </c>
      <c r="C425" s="89"/>
      <c r="D425" s="88"/>
      <c r="E425" s="88"/>
      <c r="F425" s="85"/>
    </row>
    <row r="426" spans="2:6" ht="12.75">
      <c r="B426" s="90">
        <f>B425+1</f>
        <v>115</v>
      </c>
      <c r="C426" s="89"/>
      <c r="D426" s="88"/>
      <c r="E426" s="88"/>
      <c r="F426" s="85"/>
    </row>
    <row r="427" spans="2:6" ht="12.75">
      <c r="B427" s="90">
        <f>B426+1</f>
        <v>116</v>
      </c>
      <c r="C427" s="89"/>
      <c r="D427" s="88"/>
      <c r="E427" s="88"/>
      <c r="F427" s="85"/>
    </row>
    <row r="428" spans="2:6" ht="12.75">
      <c r="B428" s="90">
        <v>120</v>
      </c>
      <c r="C428" s="89"/>
      <c r="D428" s="88"/>
      <c r="E428" s="88"/>
      <c r="F428" s="85"/>
    </row>
    <row r="429" spans="2:6" ht="12.75">
      <c r="B429" s="90">
        <f>B428+1</f>
        <v>121</v>
      </c>
      <c r="C429" s="89"/>
      <c r="D429" s="88"/>
      <c r="E429" s="88"/>
      <c r="F429" s="85"/>
    </row>
    <row r="430" spans="2:6" ht="12.75">
      <c r="B430" s="90">
        <f>B429+1</f>
        <v>122</v>
      </c>
      <c r="C430" s="89"/>
      <c r="D430" s="88"/>
      <c r="E430" s="88"/>
      <c r="F430" s="85"/>
    </row>
    <row r="431" spans="2:6" ht="12.75">
      <c r="B431" s="90">
        <f>B430+1</f>
        <v>123</v>
      </c>
      <c r="C431" s="89"/>
      <c r="D431" s="88"/>
      <c r="E431" s="88"/>
      <c r="F431" s="85"/>
    </row>
    <row r="432" spans="2:6" ht="12.75">
      <c r="B432" s="90">
        <f>B431+1</f>
        <v>124</v>
      </c>
      <c r="C432" s="89"/>
      <c r="D432" s="88"/>
      <c r="E432" s="88"/>
      <c r="F432" s="85"/>
    </row>
    <row r="433" spans="2:6" ht="12.75">
      <c r="B433" s="90">
        <f>B432+1</f>
        <v>125</v>
      </c>
      <c r="C433" s="89"/>
      <c r="D433" s="88"/>
      <c r="E433" s="88"/>
      <c r="F433" s="85"/>
    </row>
    <row r="434" spans="2:6" ht="12.75">
      <c r="B434" s="90">
        <v>129</v>
      </c>
      <c r="C434" s="89"/>
      <c r="D434" s="88"/>
      <c r="E434" s="88"/>
      <c r="F434" s="85"/>
    </row>
    <row r="435" spans="2:6" ht="12.75">
      <c r="B435" s="90">
        <v>190</v>
      </c>
      <c r="C435" s="89"/>
      <c r="D435" s="88"/>
      <c r="E435" s="88"/>
      <c r="F435" s="85"/>
    </row>
    <row r="436" spans="2:6" ht="12.75">
      <c r="B436" s="90">
        <f t="shared" ref="B436:B450" si="29">B435+1</f>
        <v>191</v>
      </c>
      <c r="C436" s="89"/>
      <c r="D436" s="88"/>
      <c r="E436" s="88"/>
      <c r="F436" s="85"/>
    </row>
    <row r="437" spans="2:6" ht="12.75">
      <c r="B437" s="90">
        <f t="shared" si="29"/>
        <v>192</v>
      </c>
      <c r="C437" s="89"/>
      <c r="D437" s="88"/>
      <c r="E437" s="88"/>
      <c r="F437" s="85"/>
    </row>
    <row r="438" spans="2:6" ht="12.75">
      <c r="B438" s="90">
        <f t="shared" si="29"/>
        <v>193</v>
      </c>
      <c r="C438" s="89"/>
      <c r="D438" s="88"/>
      <c r="E438" s="88"/>
      <c r="F438" s="85"/>
    </row>
    <row r="439" spans="2:6" ht="12.75">
      <c r="B439" s="90">
        <f t="shared" si="29"/>
        <v>194</v>
      </c>
      <c r="C439" s="89"/>
      <c r="D439" s="88"/>
      <c r="E439" s="88"/>
      <c r="F439" s="85"/>
    </row>
    <row r="440" spans="2:6" ht="12.75">
      <c r="B440" s="90">
        <f t="shared" si="29"/>
        <v>195</v>
      </c>
      <c r="C440" s="89"/>
      <c r="D440" s="88"/>
      <c r="E440" s="88"/>
      <c r="F440" s="85"/>
    </row>
    <row r="441" spans="2:6" ht="12.75">
      <c r="B441" s="90">
        <f t="shared" si="29"/>
        <v>196</v>
      </c>
      <c r="C441" s="89"/>
      <c r="D441" s="88"/>
      <c r="E441" s="88"/>
      <c r="F441" s="85"/>
    </row>
    <row r="442" spans="2:6" ht="12.75">
      <c r="B442" s="90">
        <f t="shared" si="29"/>
        <v>197</v>
      </c>
      <c r="C442" s="89"/>
      <c r="D442" s="88"/>
      <c r="E442" s="88"/>
      <c r="F442" s="85"/>
    </row>
    <row r="443" spans="2:6" ht="12.75">
      <c r="B443" s="90">
        <f t="shared" si="29"/>
        <v>198</v>
      </c>
      <c r="C443" s="89"/>
      <c r="D443" s="88"/>
      <c r="E443" s="88"/>
      <c r="F443" s="85"/>
    </row>
    <row r="444" spans="2:6" ht="12.75">
      <c r="B444" s="90">
        <f t="shared" si="29"/>
        <v>199</v>
      </c>
      <c r="C444" s="89"/>
      <c r="D444" s="88"/>
      <c r="E444" s="88"/>
      <c r="F444" s="85"/>
    </row>
    <row r="445" spans="2:6" ht="12.75">
      <c r="B445" s="90">
        <f t="shared" si="29"/>
        <v>200</v>
      </c>
      <c r="C445" s="89"/>
      <c r="D445" s="88"/>
      <c r="E445" s="88"/>
      <c r="F445" s="85"/>
    </row>
    <row r="446" spans="2:6" ht="12.75">
      <c r="B446" s="90">
        <f t="shared" si="29"/>
        <v>201</v>
      </c>
      <c r="C446" s="89"/>
      <c r="D446" s="88"/>
      <c r="E446" s="88"/>
      <c r="F446" s="85"/>
    </row>
    <row r="447" spans="2:6" ht="12.75">
      <c r="B447" s="90">
        <f t="shared" si="29"/>
        <v>202</v>
      </c>
      <c r="C447" s="89"/>
      <c r="D447" s="88"/>
      <c r="E447" s="88"/>
      <c r="F447" s="85"/>
    </row>
    <row r="448" spans="2:6" ht="12.75">
      <c r="B448" s="90">
        <f t="shared" si="29"/>
        <v>203</v>
      </c>
      <c r="C448" s="89"/>
      <c r="D448" s="88"/>
      <c r="E448" s="88"/>
      <c r="F448" s="85"/>
    </row>
    <row r="449" spans="2:6" ht="12.75">
      <c r="B449" s="90">
        <f t="shared" si="29"/>
        <v>204</v>
      </c>
      <c r="C449" s="89"/>
      <c r="D449" s="88"/>
      <c r="E449" s="88"/>
      <c r="F449" s="85"/>
    </row>
    <row r="450" spans="2:6" ht="12.75">
      <c r="B450" s="90">
        <f t="shared" si="29"/>
        <v>205</v>
      </c>
      <c r="C450" s="89"/>
      <c r="D450" s="88"/>
      <c r="E450" s="88"/>
      <c r="F450" s="85"/>
    </row>
    <row r="451" spans="2:6" ht="12.75">
      <c r="B451" s="90">
        <v>214</v>
      </c>
      <c r="C451" s="89"/>
      <c r="D451" s="88"/>
      <c r="E451" s="88"/>
      <c r="F451" s="85"/>
    </row>
    <row r="452" spans="2:6" ht="12.75">
      <c r="B452" s="90">
        <f t="shared" ref="B452:B457" si="30">B451+1</f>
        <v>215</v>
      </c>
      <c r="C452" s="89"/>
      <c r="D452" s="88"/>
      <c r="E452" s="88"/>
      <c r="F452" s="85"/>
    </row>
    <row r="453" spans="2:6" ht="12.75">
      <c r="B453" s="90">
        <f t="shared" si="30"/>
        <v>216</v>
      </c>
      <c r="C453" s="89"/>
      <c r="D453" s="88"/>
      <c r="E453" s="88"/>
      <c r="F453" s="85"/>
    </row>
    <row r="454" spans="2:6" ht="12.75">
      <c r="B454" s="90">
        <f t="shared" si="30"/>
        <v>217</v>
      </c>
      <c r="C454" s="89"/>
      <c r="D454" s="88"/>
      <c r="E454" s="88"/>
      <c r="F454" s="85"/>
    </row>
    <row r="455" spans="2:6" ht="12.75">
      <c r="B455" s="90">
        <f t="shared" si="30"/>
        <v>218</v>
      </c>
      <c r="C455" s="89"/>
      <c r="D455" s="88"/>
      <c r="E455" s="88"/>
      <c r="F455" s="85"/>
    </row>
    <row r="456" spans="2:6" ht="12.75">
      <c r="B456" s="90">
        <f t="shared" si="30"/>
        <v>219</v>
      </c>
      <c r="C456" s="89"/>
      <c r="D456" s="88"/>
      <c r="E456" s="88"/>
      <c r="F456" s="85"/>
    </row>
    <row r="457" spans="2:6" ht="12.75">
      <c r="B457" s="90">
        <f t="shared" si="30"/>
        <v>220</v>
      </c>
      <c r="C457" s="89"/>
      <c r="D457" s="88"/>
      <c r="E457" s="88"/>
      <c r="F457" s="85"/>
    </row>
    <row r="458" spans="2:6" ht="12.75">
      <c r="B458" s="90">
        <v>222</v>
      </c>
      <c r="C458" s="89"/>
      <c r="D458" s="88"/>
      <c r="E458" s="88"/>
      <c r="F458" s="85"/>
    </row>
    <row r="459" spans="2:6" ht="12.75">
      <c r="B459" s="90">
        <f>B458+1</f>
        <v>223</v>
      </c>
      <c r="C459" s="89"/>
      <c r="D459" s="88"/>
      <c r="E459" s="88"/>
      <c r="F459" s="85"/>
    </row>
    <row r="460" spans="2:6" ht="12.75">
      <c r="B460" s="90">
        <f>B459+1</f>
        <v>224</v>
      </c>
      <c r="C460" s="89"/>
      <c r="D460" s="88"/>
      <c r="E460" s="88"/>
      <c r="F460" s="85"/>
    </row>
    <row r="461" spans="2:6" ht="12.75">
      <c r="B461" s="90">
        <f>B460+1</f>
        <v>225</v>
      </c>
      <c r="C461" s="89"/>
      <c r="D461" s="88"/>
      <c r="E461" s="88"/>
      <c r="F461" s="85"/>
    </row>
    <row r="462" spans="2:6" ht="12.75">
      <c r="B462" s="90">
        <v>230</v>
      </c>
      <c r="C462" s="89"/>
      <c r="D462" s="88"/>
      <c r="E462" s="88"/>
      <c r="F462" s="85"/>
    </row>
    <row r="463" spans="2:6" ht="12.75">
      <c r="B463" s="90">
        <v>232</v>
      </c>
      <c r="C463" s="89"/>
      <c r="D463" s="88"/>
      <c r="E463" s="88"/>
      <c r="F463" s="85"/>
    </row>
    <row r="464" spans="2:6" ht="12.75">
      <c r="B464" s="90">
        <v>238</v>
      </c>
      <c r="C464" s="89"/>
      <c r="D464" s="88"/>
      <c r="E464" s="88"/>
      <c r="F464" s="85"/>
    </row>
    <row r="465" spans="2:6" ht="12.75">
      <c r="B465" s="90">
        <f t="shared" ref="B465:B473" si="31">B464+1</f>
        <v>239</v>
      </c>
      <c r="C465" s="89"/>
      <c r="D465" s="88"/>
      <c r="E465" s="88"/>
      <c r="F465" s="85"/>
    </row>
    <row r="466" spans="2:6" ht="12.75">
      <c r="B466" s="90">
        <f t="shared" si="31"/>
        <v>240</v>
      </c>
      <c r="C466" s="89"/>
      <c r="D466" s="88"/>
      <c r="E466" s="88"/>
      <c r="F466" s="85"/>
    </row>
    <row r="467" spans="2:6" ht="12.75">
      <c r="B467" s="90">
        <f t="shared" si="31"/>
        <v>241</v>
      </c>
      <c r="C467" s="89"/>
      <c r="D467" s="88"/>
      <c r="E467" s="88"/>
      <c r="F467" s="85"/>
    </row>
    <row r="468" spans="2:6" ht="12.75">
      <c r="B468" s="90">
        <f t="shared" si="31"/>
        <v>242</v>
      </c>
      <c r="C468" s="89"/>
      <c r="D468" s="88"/>
      <c r="E468" s="88"/>
      <c r="F468" s="85"/>
    </row>
    <row r="469" spans="2:6" ht="12.75">
      <c r="B469" s="90">
        <f t="shared" si="31"/>
        <v>243</v>
      </c>
      <c r="C469" s="89"/>
      <c r="D469" s="88"/>
      <c r="E469" s="88"/>
      <c r="F469" s="85"/>
    </row>
    <row r="470" spans="2:6" ht="12.75">
      <c r="B470" s="90">
        <f t="shared" si="31"/>
        <v>244</v>
      </c>
      <c r="C470" s="89"/>
      <c r="D470" s="88"/>
      <c r="E470" s="88"/>
      <c r="F470" s="85"/>
    </row>
    <row r="471" spans="2:6" ht="12.75">
      <c r="B471" s="90">
        <f t="shared" si="31"/>
        <v>245</v>
      </c>
      <c r="C471" s="89"/>
      <c r="D471" s="88"/>
      <c r="E471" s="88"/>
      <c r="F471" s="85"/>
    </row>
    <row r="472" spans="2:6" ht="12.75">
      <c r="B472" s="90">
        <f t="shared" si="31"/>
        <v>246</v>
      </c>
      <c r="C472" s="89"/>
      <c r="D472" s="88"/>
      <c r="E472" s="88"/>
      <c r="F472" s="85"/>
    </row>
    <row r="473" spans="2:6" ht="12.75">
      <c r="B473" s="90">
        <f t="shared" si="31"/>
        <v>247</v>
      </c>
      <c r="C473" s="89"/>
      <c r="D473" s="88"/>
      <c r="E473" s="88"/>
      <c r="F473" s="85"/>
    </row>
    <row r="474" spans="2:6" ht="12.75">
      <c r="B474" s="90">
        <v>265</v>
      </c>
      <c r="C474" s="89"/>
      <c r="D474" s="88"/>
      <c r="E474" s="88"/>
      <c r="F474" s="85"/>
    </row>
    <row r="475" spans="2:6" ht="12.75">
      <c r="B475" s="90"/>
      <c r="C475" s="89"/>
      <c r="D475" s="88"/>
      <c r="E475" s="88"/>
      <c r="F475" s="85"/>
    </row>
    <row r="476" spans="2:6" ht="12.75">
      <c r="B476" s="87"/>
      <c r="C476" s="86"/>
      <c r="D476" s="85"/>
      <c r="E476" s="85"/>
      <c r="F476" s="85"/>
    </row>
  </sheetData>
  <sheetProtection password="CD03" sheet="1" objects="1" scenarios="1"/>
  <hyperlinks>
    <hyperlink ref="A2" location="'Section A'!A1" display="A" xr:uid="{00000000-0004-0000-1000-000000000000}"/>
    <hyperlink ref="A3" location="'Section B'!A1" display="B" xr:uid="{00000000-0004-0000-1000-000001000000}"/>
    <hyperlink ref="A4" location="'Section C1'!A1" display="C1" xr:uid="{00000000-0004-0000-1000-000002000000}"/>
    <hyperlink ref="A6" location="'Section C3'!A1" display="C3" xr:uid="{00000000-0004-0000-1000-000003000000}"/>
    <hyperlink ref="A7" location="'Section D'!A1" display="D" xr:uid="{00000000-0004-0000-1000-000004000000}"/>
    <hyperlink ref="A8" location="'Section E1'!A1" display="E1" xr:uid="{00000000-0004-0000-1000-000005000000}"/>
    <hyperlink ref="A9" location="'Section E2'!A1" display="E2" xr:uid="{00000000-0004-0000-1000-000006000000}"/>
    <hyperlink ref="A10" location="'Section F1'!A1" display="F1" xr:uid="{00000000-0004-0000-1000-000007000000}"/>
    <hyperlink ref="A11" location="'Section F2'!A1" display="F2" xr:uid="{00000000-0004-0000-1000-000008000000}"/>
    <hyperlink ref="A12" location="'Section G'!A1" display="G" xr:uid="{00000000-0004-0000-1000-000009000000}"/>
    <hyperlink ref="A13" location="'Section H'!A1" display="H" xr:uid="{00000000-0004-0000-1000-00000A000000}"/>
    <hyperlink ref="A15" location="'Section J'!A1" display="J" xr:uid="{00000000-0004-0000-1000-00000B000000}"/>
    <hyperlink ref="A16" location="'Section K'!A1" display="K" xr:uid="{00000000-0004-0000-1000-00000C000000}"/>
    <hyperlink ref="A17" location="'Section M1-M2'!A1" display="M" xr:uid="{00000000-0004-0000-1000-00000D000000}"/>
    <hyperlink ref="A18" location="'Section N'!A1" display="N" xr:uid="{00000000-0004-0000-1000-00000E000000}"/>
    <hyperlink ref="A20" location="'Section P'!A1" display="P" xr:uid="{00000000-0004-0000-1000-00000F000000}"/>
    <hyperlink ref="A21" location="'Section R'!A1" display="R" xr:uid="{00000000-0004-0000-1000-000010000000}"/>
    <hyperlink ref="A25" location="'Section Y'!A1" display="Y" xr:uid="{00000000-0004-0000-1000-000011000000}"/>
    <hyperlink ref="A28" location="'Financial Page'!A1" display="Fin" xr:uid="{00000000-0004-0000-1000-000012000000}"/>
    <hyperlink ref="A30" location="MCDEPN!A1" display="MCDepn" xr:uid="{00000000-0004-0000-1000-000013000000}"/>
    <hyperlink ref="A31" location="BUILDEPN!A1" display="Buildepn" xr:uid="{00000000-0004-0000-1000-000014000000}"/>
    <hyperlink ref="A29" location="'LEASE &amp; HP'!A1" display="Lease" xr:uid="{00000000-0004-0000-1000-000015000000}"/>
    <hyperlink ref="A33" location="'Livestock and forage'!A1" display="Lsk&amp;For" xr:uid="{00000000-0004-0000-1000-000016000000}"/>
    <hyperlink ref="A32" location="'Scratch Pad'!A1" display="Scratch" xr:uid="{00000000-0004-0000-1000-000017000000}"/>
    <hyperlink ref="A22" location="'Section S'!A1" display="S" xr:uid="{00000000-0004-0000-1000-000018000000}"/>
    <hyperlink ref="A5" location="'Section C2'!A1" display="C2" xr:uid="{00000000-0004-0000-1000-000019000000}"/>
    <hyperlink ref="A19" location="'Section O'!A1" display="O" xr:uid="{00000000-0004-0000-1000-00001A000000}"/>
    <hyperlink ref="A27" location="StockReco!A1" display="Stock Reco" xr:uid="{00000000-0004-0000-1000-00001B000000}"/>
    <hyperlink ref="A24" location="'Section X&amp;AA'!A1" display="X &amp; AA" xr:uid="{00000000-0004-0000-1000-00001C000000}"/>
    <hyperlink ref="A23" location="'Section T &amp; U'!A1" display="T&amp;U" xr:uid="{00000000-0004-0000-1000-00001D000000}"/>
    <hyperlink ref="A26" location="'Bank Statement'!F13" display="BANK STATEMENT" xr:uid="{00000000-0004-0000-1000-00001E000000}"/>
    <hyperlink ref="A14" location="'Section I (RO Input)'!A1" display="I" xr:uid="{00000000-0004-0000-1000-00001F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C14"/>
  <sheetViews>
    <sheetView workbookViewId="0">
      <selection activeCell="E9" sqref="E9"/>
    </sheetView>
  </sheetViews>
  <sheetFormatPr defaultRowHeight="15"/>
  <cols>
    <col min="1" max="1" width="21.140625" customWidth="1"/>
    <col min="2" max="2" width="16.5703125" customWidth="1"/>
    <col min="3" max="3" width="15.140625" customWidth="1"/>
  </cols>
  <sheetData>
    <row r="2" spans="1:3" ht="15.75" thickBot="1"/>
    <row r="3" spans="1:3" ht="30">
      <c r="A3" s="253" t="s">
        <v>1502</v>
      </c>
      <c r="B3" s="254" t="s">
        <v>1511</v>
      </c>
      <c r="C3" s="255" t="s">
        <v>1512</v>
      </c>
    </row>
    <row r="4" spans="1:3">
      <c r="A4" s="256" t="s">
        <v>1503</v>
      </c>
      <c r="B4" s="257">
        <v>0.4929</v>
      </c>
      <c r="C4" s="258">
        <f>B4*3.6</f>
        <v>1.77444</v>
      </c>
    </row>
    <row r="5" spans="1:3">
      <c r="A5" s="256" t="s">
        <v>1504</v>
      </c>
      <c r="B5" s="257">
        <v>0.20435</v>
      </c>
      <c r="C5" s="258">
        <f t="shared" ref="C5:C11" si="0">B5*3.6</f>
        <v>0.73565999999999998</v>
      </c>
    </row>
    <row r="6" spans="1:3">
      <c r="A6" s="256" t="s">
        <v>1505</v>
      </c>
      <c r="B6" s="257">
        <v>0.31885000000000002</v>
      </c>
      <c r="C6" s="258">
        <f t="shared" si="0"/>
        <v>1.1478600000000001</v>
      </c>
    </row>
    <row r="7" spans="1:3">
      <c r="A7" s="256" t="s">
        <v>1506</v>
      </c>
      <c r="B7" s="257">
        <v>3.8949999999999999E-2</v>
      </c>
      <c r="C7" s="258">
        <f t="shared" si="0"/>
        <v>0.14022000000000001</v>
      </c>
    </row>
    <row r="8" spans="1:3">
      <c r="A8" s="256" t="s">
        <v>1507</v>
      </c>
      <c r="B8" s="257">
        <v>1.8950000000000002E-2</v>
      </c>
      <c r="C8" s="258">
        <f t="shared" si="0"/>
        <v>6.8220000000000003E-2</v>
      </c>
    </row>
    <row r="9" spans="1:3">
      <c r="A9" s="256" t="s">
        <v>1508</v>
      </c>
      <c r="B9" s="257">
        <v>1.5789999999999998E-2</v>
      </c>
      <c r="C9" s="258">
        <f t="shared" si="0"/>
        <v>5.6843999999999999E-2</v>
      </c>
    </row>
    <row r="10" spans="1:3">
      <c r="A10" s="256" t="s">
        <v>1509</v>
      </c>
      <c r="B10" s="257">
        <v>1.0200000000000001E-2</v>
      </c>
      <c r="C10" s="258">
        <f t="shared" si="0"/>
        <v>3.6720000000000003E-2</v>
      </c>
    </row>
    <row r="11" spans="1:3" ht="15.75" thickBot="1">
      <c r="A11" s="259" t="s">
        <v>1510</v>
      </c>
      <c r="B11" s="260">
        <v>0</v>
      </c>
      <c r="C11" s="261">
        <f t="shared" si="0"/>
        <v>0</v>
      </c>
    </row>
    <row r="12" spans="1:3">
      <c r="A12" s="256" t="s">
        <v>72</v>
      </c>
    </row>
    <row r="14" spans="1:3">
      <c r="A14" s="7" t="s">
        <v>1513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1"/>
  <sheetViews>
    <sheetView workbookViewId="0">
      <selection activeCell="D21" sqref="D21"/>
    </sheetView>
  </sheetViews>
  <sheetFormatPr defaultColWidth="9" defaultRowHeight="14.25"/>
  <cols>
    <col min="1" max="1" width="18.42578125" style="267" customWidth="1"/>
    <col min="2" max="16384" width="9" style="267"/>
  </cols>
  <sheetData>
    <row r="1" spans="1:4" ht="15">
      <c r="A1" s="265" t="s">
        <v>1546</v>
      </c>
      <c r="B1" s="266"/>
      <c r="C1" s="266"/>
      <c r="D1" s="266"/>
    </row>
    <row r="2" spans="1:4" ht="15">
      <c r="A2" s="266"/>
      <c r="B2" s="265" t="s">
        <v>1547</v>
      </c>
      <c r="C2" s="265" t="s">
        <v>1548</v>
      </c>
      <c r="D2" s="265" t="s">
        <v>1549</v>
      </c>
    </row>
    <row r="3" spans="1:4" ht="45">
      <c r="A3" s="268" t="s">
        <v>282</v>
      </c>
      <c r="B3" s="269" t="s">
        <v>1550</v>
      </c>
      <c r="C3" s="269" t="s">
        <v>1550</v>
      </c>
      <c r="D3" s="269" t="s">
        <v>1550</v>
      </c>
    </row>
    <row r="4" spans="1:4">
      <c r="A4" s="267" t="s">
        <v>400</v>
      </c>
      <c r="B4" s="270">
        <f>[3]Barley_tonnes!E12/[3]Barley_area!E12</f>
        <v>4.3349286558998736</v>
      </c>
      <c r="C4" s="270">
        <f>'[4]UK cereal yields summary'!$C$135</f>
        <v>5.7</v>
      </c>
    </row>
    <row r="5" spans="1:4">
      <c r="A5" s="267" t="s">
        <v>401</v>
      </c>
      <c r="B5" s="270">
        <f>[3]Oats_tonnes!E12/[3]Oats_area!E12</f>
        <v>2.749204408168076</v>
      </c>
      <c r="C5" s="270">
        <f>'[4]UK cereal yields summary'!$D$135</f>
        <v>5.5</v>
      </c>
    </row>
    <row r="6" spans="1:4">
      <c r="A6" s="267" t="s">
        <v>203</v>
      </c>
      <c r="B6" s="270">
        <f>'[3]Peas tonnes'!E7/[3]Peas_area!E12</f>
        <v>3.5490915790368751</v>
      </c>
      <c r="C6" s="270">
        <f>AVERAGE('[5]2010 FBS non-org data'!$M$7:$M$14)</f>
        <v>3.5979166666666664</v>
      </c>
    </row>
    <row r="7" spans="1:4">
      <c r="A7" s="267" t="s">
        <v>1551</v>
      </c>
      <c r="B7" s="270">
        <f>[3]Field_beans_tonnes!E8/[3]Field_beans_area!F8</f>
        <v>2.8172606844346322</v>
      </c>
      <c r="C7" s="270">
        <f>AVERAGE('[5]2010 FBS non-org data'!$J$7:$J$16)</f>
        <v>3.0097514067355342</v>
      </c>
    </row>
    <row r="8" spans="1:4">
      <c r="A8" s="267" t="s">
        <v>41</v>
      </c>
      <c r="B8" s="270">
        <f>[3]Potatoes_tonnes!E12/[3]Potato_Area!G7</f>
        <v>30.998321879934636</v>
      </c>
      <c r="C8" s="270">
        <f>AVERAGE('[5]2010 FBS non-org data'!$D$7:$D$16)</f>
        <v>33.045184979629418</v>
      </c>
    </row>
    <row r="9" spans="1:4">
      <c r="A9" s="267" t="s">
        <v>46</v>
      </c>
      <c r="B9" s="270">
        <f>[3]Sugar_beet_tonnes!E12/[3]Sugar_beet_area!F5</f>
        <v>67.862664548049963</v>
      </c>
      <c r="C9" s="270">
        <f>[6]Display!$O$18</f>
        <v>69.268155726581099</v>
      </c>
    </row>
    <row r="10" spans="1:4">
      <c r="A10" s="267" t="s">
        <v>1148</v>
      </c>
      <c r="B10" s="270">
        <f>[3]Oilseed_tonnes!E12/[3]Oilseed_area!E12</f>
        <v>2.361821534833886</v>
      </c>
      <c r="C10" s="270">
        <f>'[4]UK cereal yields summary'!$H$135</f>
        <v>3.5</v>
      </c>
      <c r="D10" s="271">
        <v>1.288</v>
      </c>
    </row>
    <row r="11" spans="1:4">
      <c r="A11" s="267" t="s">
        <v>42</v>
      </c>
      <c r="B11" s="270">
        <f>[3]CARROTS!D22</f>
        <v>40.269333333333329</v>
      </c>
      <c r="C11" s="270">
        <f>'[7]Table 12 HPM'!$AI$12</f>
        <v>66.506502237045581</v>
      </c>
    </row>
    <row r="12" spans="1:4">
      <c r="A12" s="267" t="s">
        <v>126</v>
      </c>
      <c r="B12" s="270">
        <f>[3]Cabbages_tonnes!E8/[3]Cabbage_area!G7</f>
        <v>33.110652194793971</v>
      </c>
      <c r="C12" s="270">
        <f>AVERAGE('[7]Table 12 HPM'!$AI$22:$AI$24)</f>
        <v>34.877865325555895</v>
      </c>
    </row>
    <row r="13" spans="1:4">
      <c r="A13" s="267" t="s">
        <v>43</v>
      </c>
      <c r="B13" s="270">
        <f>[3]Onions_tonnes!F7/[3]Onions_area!G7</f>
        <v>33.277253797158259</v>
      </c>
      <c r="C13" s="270">
        <f>'[7]Table 12 HPM'!$AI$15</f>
        <v>42.433948212830373</v>
      </c>
    </row>
    <row r="14" spans="1:4">
      <c r="A14" s="267" t="s">
        <v>1552</v>
      </c>
      <c r="B14" s="270">
        <f>[3]Wheat_yield!H7</f>
        <v>5.2389274047884404</v>
      </c>
      <c r="C14" s="270">
        <f>'[4]UK cereal yields summary'!$B$135</f>
        <v>7.7</v>
      </c>
      <c r="D14" s="267">
        <v>2.69</v>
      </c>
    </row>
    <row r="15" spans="1:4">
      <c r="B15" s="270"/>
      <c r="C15" s="270"/>
    </row>
    <row r="16" spans="1:4">
      <c r="B16" s="267" t="s">
        <v>1555</v>
      </c>
      <c r="C16" s="267" t="s">
        <v>1556</v>
      </c>
      <c r="D16" s="267" t="s">
        <v>1557</v>
      </c>
    </row>
    <row r="17" spans="1:4">
      <c r="A17" s="267" t="s">
        <v>497</v>
      </c>
      <c r="B17" s="267">
        <v>15</v>
      </c>
      <c r="C17" s="267">
        <v>55</v>
      </c>
      <c r="D17" s="267">
        <f>AVERAGE(B17:C17)</f>
        <v>35</v>
      </c>
    </row>
    <row r="18" spans="1:4">
      <c r="A18" s="267" t="s">
        <v>1554</v>
      </c>
      <c r="B18" s="267">
        <v>25</v>
      </c>
      <c r="C18" s="267">
        <v>50</v>
      </c>
      <c r="D18" s="267">
        <f>AVERAGE(B18:C18)</f>
        <v>37.5</v>
      </c>
    </row>
    <row r="19" spans="1:4">
      <c r="A19" s="267" t="s">
        <v>500</v>
      </c>
      <c r="B19" s="267">
        <v>15</v>
      </c>
      <c r="C19" s="267">
        <v>30</v>
      </c>
      <c r="D19" s="267">
        <f>AVERAGE(B19:C19)</f>
        <v>22.5</v>
      </c>
    </row>
    <row r="21" spans="1:4" ht="15">
      <c r="C21" s="268" t="s">
        <v>1558</v>
      </c>
      <c r="D21" s="267">
        <f>AVERAGE(D17:D19)</f>
        <v>31.666666666666668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K1575"/>
  <sheetViews>
    <sheetView showGridLines="0" zoomScaleNormal="100" workbookViewId="0">
      <pane xSplit="2" topLeftCell="C1" activePane="topRight" state="frozen"/>
      <selection activeCell="A294" sqref="A294"/>
      <selection pane="topRight" activeCell="B16" sqref="B16"/>
    </sheetView>
  </sheetViews>
  <sheetFormatPr defaultColWidth="9.140625" defaultRowHeight="15"/>
  <cols>
    <col min="1" max="1" width="83.7109375" style="394" customWidth="1"/>
    <col min="2" max="2" width="23.140625" style="303" customWidth="1"/>
    <col min="3" max="3" width="8.28515625" style="303" customWidth="1"/>
    <col min="4" max="4" width="13.42578125" style="303" customWidth="1"/>
    <col min="5" max="5" width="12.42578125" style="303" customWidth="1"/>
    <col min="6" max="6" width="11.28515625" style="304" customWidth="1"/>
    <col min="7" max="7" width="11" style="323" customWidth="1"/>
    <col min="8" max="8" width="13.5703125" style="303" customWidth="1"/>
    <col min="9" max="9" width="13.7109375" style="303" customWidth="1"/>
    <col min="10" max="10" width="15.42578125" style="315" customWidth="1"/>
    <col min="11" max="11" width="15.7109375" style="327" customWidth="1"/>
    <col min="12" max="12" width="15.7109375" style="328" customWidth="1"/>
    <col min="13" max="13" width="12.140625" style="328" customWidth="1"/>
    <col min="14" max="14" width="15" style="328" customWidth="1"/>
    <col min="15" max="16" width="20.42578125" style="328" customWidth="1"/>
    <col min="17" max="20" width="17.85546875" style="26" customWidth="1"/>
    <col min="21" max="21" width="9.140625" style="26" customWidth="1"/>
    <col min="22" max="26" width="9.140625" style="25"/>
    <col min="27" max="27" width="0" style="25" hidden="1" customWidth="1"/>
    <col min="28" max="30" width="8.7109375" style="25" hidden="1" customWidth="1"/>
    <col min="31" max="31" width="12.5703125" style="25" hidden="1" customWidth="1"/>
    <col min="32" max="33" width="0" style="25" hidden="1" customWidth="1"/>
    <col min="34" max="34" width="9.140625" style="25" hidden="1" customWidth="1"/>
    <col min="35" max="36" width="0" style="25" hidden="1" customWidth="1"/>
    <col min="37" max="37" width="10" style="25" hidden="1" customWidth="1"/>
    <col min="38" max="16384" width="9.140625" style="25"/>
  </cols>
  <sheetData>
    <row r="1" spans="1:21">
      <c r="D1" s="666"/>
      <c r="K1" s="324"/>
      <c r="L1" s="303"/>
      <c r="M1" s="303"/>
      <c r="N1" s="303"/>
      <c r="O1" s="303"/>
      <c r="P1" s="303"/>
      <c r="Q1" s="25"/>
      <c r="R1" s="25"/>
      <c r="S1" s="25"/>
      <c r="T1" s="25"/>
      <c r="U1" s="25"/>
    </row>
    <row r="2" spans="1:21">
      <c r="K2" s="324"/>
      <c r="L2" s="303"/>
      <c r="M2" s="303"/>
      <c r="N2" s="303"/>
      <c r="O2" s="303"/>
      <c r="P2" s="303"/>
      <c r="Q2" s="25"/>
      <c r="R2" s="25"/>
      <c r="S2" s="25"/>
      <c r="T2" s="25"/>
      <c r="U2" s="25"/>
    </row>
    <row r="3" spans="1:21">
      <c r="D3" s="315"/>
      <c r="E3"/>
      <c r="K3" s="324"/>
      <c r="L3" s="303"/>
      <c r="M3" s="303"/>
      <c r="N3" s="303"/>
      <c r="O3" s="303"/>
      <c r="P3" s="303"/>
      <c r="Q3" s="25"/>
      <c r="R3" s="25"/>
      <c r="S3" s="25"/>
      <c r="T3" s="25"/>
      <c r="U3" s="25"/>
    </row>
    <row r="4" spans="1:21">
      <c r="D4" s="315"/>
      <c r="E4"/>
      <c r="K4" s="324"/>
      <c r="L4" s="303"/>
      <c r="M4" s="303"/>
      <c r="N4" s="303"/>
      <c r="O4" s="303"/>
      <c r="P4" s="303"/>
      <c r="Q4" s="25"/>
      <c r="R4" s="25"/>
      <c r="S4" s="25"/>
      <c r="T4" s="25"/>
      <c r="U4" s="25"/>
    </row>
    <row r="5" spans="1:21">
      <c r="D5" s="667"/>
      <c r="E5"/>
      <c r="K5" s="324"/>
      <c r="L5" s="303"/>
      <c r="M5" s="303"/>
      <c r="N5" s="303"/>
      <c r="O5" s="303"/>
      <c r="P5" s="303"/>
      <c r="Q5" s="25"/>
      <c r="R5" s="25"/>
      <c r="S5" s="25"/>
      <c r="T5" s="25"/>
      <c r="U5" s="25"/>
    </row>
    <row r="6" spans="1:21">
      <c r="D6" s="315"/>
      <c r="E6"/>
      <c r="K6" s="324"/>
      <c r="L6" s="303"/>
      <c r="M6" s="303"/>
      <c r="N6" s="303"/>
      <c r="O6" s="303"/>
      <c r="P6" s="303"/>
      <c r="Q6" s="25"/>
      <c r="R6" s="25"/>
      <c r="S6" s="25"/>
      <c r="T6" s="25"/>
      <c r="U6" s="25"/>
    </row>
    <row r="7" spans="1:21">
      <c r="D7" s="315"/>
      <c r="E7"/>
      <c r="K7" s="324"/>
      <c r="L7" s="303"/>
      <c r="M7" s="303"/>
      <c r="N7" s="303"/>
      <c r="O7" s="303"/>
      <c r="P7" s="303"/>
      <c r="Q7" s="25"/>
      <c r="R7" s="25"/>
      <c r="S7" s="25"/>
      <c r="T7" s="25"/>
      <c r="U7" s="25"/>
    </row>
    <row r="8" spans="1:21">
      <c r="D8" s="315"/>
      <c r="E8"/>
      <c r="K8" s="324"/>
      <c r="L8" s="303"/>
      <c r="M8" s="303"/>
      <c r="N8" s="303"/>
      <c r="O8" s="303"/>
      <c r="P8" s="303"/>
      <c r="Q8" s="25"/>
      <c r="R8" s="25"/>
      <c r="S8" s="25"/>
      <c r="T8" s="25"/>
      <c r="U8" s="25"/>
    </row>
    <row r="9" spans="1:21">
      <c r="D9" s="668"/>
      <c r="E9"/>
      <c r="K9" s="324"/>
      <c r="L9" s="303"/>
      <c r="M9" s="303"/>
      <c r="N9" s="303"/>
      <c r="O9" s="303"/>
      <c r="P9" s="303"/>
      <c r="Q9" s="25"/>
      <c r="R9" s="25"/>
      <c r="S9" s="25"/>
      <c r="T9" s="25"/>
      <c r="U9" s="25"/>
    </row>
    <row r="10" spans="1:21">
      <c r="D10" s="315"/>
      <c r="E10"/>
      <c r="K10" s="324"/>
      <c r="L10" s="303"/>
      <c r="M10" s="303"/>
      <c r="N10" s="303"/>
      <c r="O10" s="303"/>
      <c r="P10" s="303"/>
      <c r="Q10" s="25"/>
      <c r="R10" s="25"/>
      <c r="S10" s="25"/>
      <c r="T10" s="25"/>
      <c r="U10" s="25"/>
    </row>
    <row r="11" spans="1:21">
      <c r="D11" s="315"/>
      <c r="E11"/>
      <c r="K11" s="324"/>
      <c r="L11" s="303"/>
      <c r="M11" s="303"/>
      <c r="N11" s="303"/>
      <c r="O11" s="303"/>
      <c r="P11" s="303"/>
      <c r="Q11" s="25"/>
      <c r="R11" s="25"/>
      <c r="S11" s="25"/>
      <c r="T11" s="25"/>
      <c r="U11" s="25"/>
    </row>
    <row r="12" spans="1:21">
      <c r="K12" s="324"/>
      <c r="L12" s="303"/>
      <c r="M12" s="303"/>
      <c r="N12" s="303"/>
      <c r="O12" s="303"/>
      <c r="P12" s="303"/>
      <c r="Q12" s="25"/>
      <c r="R12" s="25"/>
      <c r="S12" s="25"/>
      <c r="T12" s="25"/>
      <c r="U12" s="25"/>
    </row>
    <row r="13" spans="1:21">
      <c r="A13" s="411"/>
      <c r="K13" s="324"/>
      <c r="L13" s="303"/>
      <c r="M13" s="303"/>
      <c r="N13" s="303"/>
      <c r="O13" s="303"/>
      <c r="P13" s="303"/>
      <c r="Q13" s="25"/>
      <c r="R13" s="25"/>
      <c r="S13" s="25"/>
      <c r="T13" s="25"/>
      <c r="U13" s="25"/>
    </row>
    <row r="14" spans="1:21" ht="15.75" thickBot="1">
      <c r="A14" s="411"/>
      <c r="K14" s="324"/>
      <c r="L14" s="303"/>
      <c r="M14" s="303"/>
      <c r="N14" s="303"/>
      <c r="O14" s="303"/>
      <c r="P14" s="303"/>
      <c r="Q14" s="25"/>
      <c r="R14" s="25"/>
      <c r="S14" s="25"/>
      <c r="T14" s="25"/>
      <c r="U14" s="25"/>
    </row>
    <row r="15" spans="1:21" ht="15.75" thickBot="1">
      <c r="A15" s="412" t="s">
        <v>1676</v>
      </c>
      <c r="B15" s="374" t="s">
        <v>1666</v>
      </c>
      <c r="C15" s="300"/>
      <c r="D15" s="300"/>
      <c r="E15" s="300"/>
      <c r="F15" s="300"/>
      <c r="K15" s="324"/>
      <c r="L15" s="303"/>
      <c r="M15" s="303"/>
      <c r="N15" s="303"/>
      <c r="O15" s="303"/>
      <c r="P15" s="303"/>
      <c r="Q15" s="25"/>
      <c r="R15" s="25"/>
      <c r="S15" s="25"/>
      <c r="T15" s="25"/>
      <c r="U15" s="25"/>
    </row>
    <row r="16" spans="1:21">
      <c r="A16" s="444" t="s">
        <v>598</v>
      </c>
      <c r="B16" s="445"/>
      <c r="C16" s="25"/>
      <c r="D16" s="301"/>
      <c r="E16" s="301"/>
      <c r="F16" s="301"/>
      <c r="K16" s="324"/>
      <c r="L16" s="303"/>
      <c r="M16" s="303"/>
      <c r="N16" s="303"/>
      <c r="O16" s="303"/>
      <c r="P16" s="303"/>
      <c r="Q16" s="25"/>
      <c r="R16" s="25"/>
      <c r="S16" s="25"/>
      <c r="T16" s="25"/>
      <c r="U16" s="25"/>
    </row>
    <row r="17" spans="1:21">
      <c r="A17" s="395" t="s">
        <v>1277</v>
      </c>
      <c r="B17" s="446"/>
      <c r="C17" s="301"/>
      <c r="D17" s="301"/>
      <c r="E17" s="301"/>
      <c r="F17" s="301"/>
      <c r="K17" s="324"/>
      <c r="L17" s="303"/>
      <c r="M17" s="303"/>
      <c r="N17" s="303"/>
      <c r="O17" s="303"/>
      <c r="P17" s="303"/>
      <c r="Q17" s="25"/>
      <c r="R17" s="25"/>
      <c r="S17" s="25"/>
      <c r="T17" s="25"/>
      <c r="U17" s="25"/>
    </row>
    <row r="18" spans="1:21">
      <c r="A18" s="395" t="s">
        <v>1204</v>
      </c>
      <c r="B18" s="446" t="s">
        <v>613</v>
      </c>
      <c r="C18" s="25"/>
      <c r="D18" s="301"/>
      <c r="E18" s="301"/>
      <c r="F18" s="301"/>
      <c r="K18" s="324"/>
      <c r="L18" s="303"/>
      <c r="M18" s="303"/>
      <c r="N18" s="303"/>
      <c r="O18" s="303"/>
      <c r="P18" s="303"/>
      <c r="Q18" s="25"/>
      <c r="R18" s="25"/>
      <c r="S18" s="25"/>
      <c r="T18" s="25"/>
      <c r="U18" s="25"/>
    </row>
    <row r="19" spans="1:21" ht="27.6" customHeight="1">
      <c r="A19" s="395" t="s">
        <v>1187</v>
      </c>
      <c r="B19" s="447" t="s">
        <v>1183</v>
      </c>
      <c r="C19" s="301"/>
      <c r="D19" s="301"/>
      <c r="E19" s="301"/>
      <c r="F19" s="301"/>
      <c r="K19" s="324"/>
      <c r="L19" s="303"/>
      <c r="M19" s="303"/>
      <c r="N19" s="303"/>
      <c r="O19" s="303"/>
      <c r="P19" s="303"/>
      <c r="Q19" s="25"/>
      <c r="R19" s="25"/>
      <c r="S19" s="25"/>
      <c r="T19" s="25"/>
      <c r="U19" s="25"/>
    </row>
    <row r="20" spans="1:21">
      <c r="A20" s="395" t="s">
        <v>1655</v>
      </c>
      <c r="B20" s="825"/>
      <c r="C20" s="10"/>
      <c r="D20" s="301"/>
      <c r="E20" s="301"/>
      <c r="F20" s="301"/>
      <c r="K20" s="324"/>
      <c r="L20" s="303"/>
      <c r="M20" s="303"/>
      <c r="N20" s="303"/>
      <c r="O20" s="303"/>
      <c r="P20" s="303"/>
      <c r="Q20" s="25"/>
      <c r="R20" s="25"/>
      <c r="S20" s="25"/>
      <c r="T20" s="25"/>
      <c r="U20" s="25"/>
    </row>
    <row r="21" spans="1:21">
      <c r="A21" s="395" t="s">
        <v>1656</v>
      </c>
      <c r="B21" s="446"/>
      <c r="C21" s="376"/>
      <c r="D21" s="302"/>
      <c r="E21" s="302"/>
      <c r="F21" s="301"/>
      <c r="K21" s="324"/>
      <c r="L21" s="303"/>
      <c r="M21" s="303"/>
      <c r="N21" s="303"/>
      <c r="O21" s="303"/>
      <c r="P21" s="303"/>
      <c r="Q21" s="25"/>
      <c r="R21" s="25"/>
      <c r="S21" s="25"/>
      <c r="T21" s="25"/>
      <c r="U21" s="25"/>
    </row>
    <row r="22" spans="1:21">
      <c r="A22" s="395" t="s">
        <v>1657</v>
      </c>
      <c r="B22" s="446"/>
      <c r="C22" s="376"/>
      <c r="D22" s="302"/>
      <c r="E22" s="302"/>
      <c r="F22" s="301"/>
      <c r="K22" s="324"/>
      <c r="L22" s="303"/>
      <c r="M22" s="303"/>
      <c r="N22" s="303"/>
      <c r="O22" s="303"/>
      <c r="P22" s="303"/>
      <c r="Q22" s="25"/>
      <c r="R22" s="25"/>
      <c r="S22" s="25"/>
      <c r="T22" s="25"/>
      <c r="U22" s="25"/>
    </row>
    <row r="23" spans="1:21">
      <c r="A23" s="395" t="s">
        <v>1658</v>
      </c>
      <c r="B23" s="446"/>
      <c r="C23" s="376"/>
      <c r="D23" s="302"/>
      <c r="E23" s="302"/>
      <c r="F23" s="301"/>
      <c r="K23" s="324"/>
      <c r="L23" s="303"/>
      <c r="M23" s="303"/>
      <c r="N23" s="303"/>
      <c r="O23" s="303"/>
      <c r="P23" s="303"/>
      <c r="Q23" s="25"/>
      <c r="R23" s="25"/>
      <c r="S23" s="25"/>
      <c r="T23" s="25"/>
      <c r="U23" s="25"/>
    </row>
    <row r="24" spans="1:21">
      <c r="A24" s="395" t="s">
        <v>1273</v>
      </c>
      <c r="B24" s="447" t="s">
        <v>1544</v>
      </c>
      <c r="C24" s="302"/>
      <c r="D24" s="302"/>
      <c r="E24" s="302"/>
      <c r="F24" s="301"/>
      <c r="K24" s="324"/>
      <c r="L24" s="303"/>
      <c r="M24" s="303"/>
      <c r="N24" s="303"/>
      <c r="O24" s="303"/>
      <c r="P24" s="303"/>
      <c r="Q24" s="25"/>
      <c r="R24" s="25"/>
      <c r="S24" s="25"/>
      <c r="T24" s="25"/>
      <c r="U24" s="25"/>
    </row>
    <row r="25" spans="1:21">
      <c r="A25" s="395" t="s">
        <v>1611</v>
      </c>
      <c r="B25" s="446" t="s">
        <v>1594</v>
      </c>
      <c r="C25" s="302"/>
      <c r="D25" s="302"/>
      <c r="E25" s="302"/>
      <c r="F25" s="301"/>
      <c r="K25" s="324"/>
      <c r="L25" s="303"/>
      <c r="M25" s="303"/>
      <c r="N25" s="303"/>
      <c r="O25" s="303"/>
      <c r="P25" s="303"/>
      <c r="Q25" s="25"/>
      <c r="R25" s="25"/>
      <c r="S25" s="25"/>
      <c r="T25" s="25"/>
      <c r="U25" s="25"/>
    </row>
    <row r="26" spans="1:21" ht="25.5">
      <c r="A26" s="396" t="s">
        <v>1545</v>
      </c>
      <c r="B26" s="446" t="s">
        <v>37</v>
      </c>
      <c r="C26" s="302"/>
      <c r="D26" s="302"/>
      <c r="E26" s="302"/>
      <c r="F26" s="301"/>
      <c r="K26" s="324"/>
      <c r="L26" s="303"/>
      <c r="M26" s="303"/>
      <c r="N26" s="303"/>
      <c r="O26" s="303"/>
      <c r="P26" s="303"/>
      <c r="Q26" s="25"/>
      <c r="R26" s="25"/>
      <c r="S26" s="25"/>
      <c r="T26" s="25"/>
      <c r="U26" s="25"/>
    </row>
    <row r="27" spans="1:21">
      <c r="A27" s="396" t="s">
        <v>1625</v>
      </c>
      <c r="B27" s="446" t="s">
        <v>36</v>
      </c>
      <c r="C27" s="302"/>
      <c r="D27" s="302"/>
      <c r="E27" s="302"/>
      <c r="F27" s="301"/>
      <c r="K27" s="324"/>
      <c r="L27" s="303"/>
      <c r="M27" s="303"/>
      <c r="N27" s="303"/>
      <c r="O27" s="303"/>
      <c r="P27" s="303"/>
      <c r="Q27" s="25"/>
      <c r="R27" s="25"/>
      <c r="S27" s="25"/>
      <c r="T27" s="25"/>
      <c r="U27" s="25"/>
    </row>
    <row r="28" spans="1:21" ht="25.5">
      <c r="A28" s="396" t="s">
        <v>1645</v>
      </c>
      <c r="B28" s="321" t="s">
        <v>1505</v>
      </c>
      <c r="C28" s="302"/>
      <c r="D28" s="302"/>
      <c r="E28" s="302"/>
      <c r="F28" s="301"/>
      <c r="K28" s="324"/>
      <c r="L28" s="303"/>
      <c r="M28" s="303"/>
      <c r="N28" s="303"/>
      <c r="O28" s="303"/>
      <c r="P28" s="303"/>
      <c r="Q28" s="25"/>
      <c r="R28" s="25"/>
      <c r="S28" s="25"/>
      <c r="T28" s="25"/>
      <c r="U28" s="25"/>
    </row>
    <row r="29" spans="1:21">
      <c r="A29" s="395" t="s">
        <v>1646</v>
      </c>
      <c r="B29" s="826" t="s">
        <v>691</v>
      </c>
      <c r="C29" s="301"/>
      <c r="D29" s="301"/>
      <c r="E29" s="301"/>
      <c r="F29" s="301"/>
      <c r="K29" s="324"/>
      <c r="L29" s="303"/>
      <c r="M29" s="303"/>
      <c r="N29" s="303"/>
      <c r="O29" s="303"/>
      <c r="P29" s="303"/>
      <c r="Q29" s="25"/>
      <c r="R29" s="25"/>
      <c r="S29" s="25"/>
      <c r="T29" s="25"/>
      <c r="U29" s="25"/>
    </row>
    <row r="30" spans="1:21">
      <c r="A30" s="395" t="s">
        <v>1647</v>
      </c>
      <c r="B30" s="827" t="s">
        <v>1554</v>
      </c>
      <c r="C30" s="301"/>
      <c r="D30" s="301"/>
      <c r="E30" s="301"/>
      <c r="F30" s="301"/>
      <c r="K30" s="324"/>
      <c r="L30" s="303"/>
      <c r="M30" s="303"/>
      <c r="N30" s="303"/>
      <c r="O30" s="303"/>
      <c r="P30" s="303"/>
      <c r="Q30" s="25"/>
      <c r="R30" s="25"/>
      <c r="S30" s="25"/>
      <c r="T30" s="25"/>
      <c r="U30" s="25"/>
    </row>
    <row r="31" spans="1:21">
      <c r="A31" s="397"/>
      <c r="B31" s="418"/>
      <c r="C31" s="301"/>
      <c r="D31" s="301"/>
      <c r="E31" s="301"/>
      <c r="F31" s="301"/>
      <c r="K31" s="324"/>
      <c r="L31" s="303"/>
      <c r="M31" s="303"/>
      <c r="N31" s="303"/>
      <c r="O31" s="303"/>
      <c r="P31" s="303"/>
      <c r="Q31" s="25"/>
      <c r="R31" s="25"/>
      <c r="S31" s="25"/>
      <c r="T31" s="25"/>
      <c r="U31" s="25"/>
    </row>
    <row r="32" spans="1:21" ht="15.75" thickBot="1">
      <c r="A32" s="398" t="s">
        <v>1729</v>
      </c>
      <c r="B32" s="640">
        <f>SUM(B238:B239)</f>
        <v>0</v>
      </c>
      <c r="C32" s="311"/>
      <c r="D32" s="301"/>
      <c r="E32" s="301"/>
      <c r="F32" s="301"/>
      <c r="K32" s="324"/>
      <c r="L32" s="303"/>
      <c r="M32" s="303"/>
      <c r="N32" s="303"/>
      <c r="O32" s="303"/>
      <c r="P32" s="303"/>
      <c r="Q32" s="25"/>
      <c r="R32" s="25"/>
      <c r="S32" s="25"/>
      <c r="T32" s="25"/>
      <c r="U32" s="25"/>
    </row>
    <row r="33" spans="1:21" s="377" customFormat="1" ht="39" thickBot="1">
      <c r="A33" s="443" t="s">
        <v>1677</v>
      </c>
      <c r="B33" s="441" t="s">
        <v>1667</v>
      </c>
      <c r="C33" s="414" t="s">
        <v>1668</v>
      </c>
      <c r="D33" s="415" t="s">
        <v>1391</v>
      </c>
      <c r="E33" s="414"/>
      <c r="F33" s="416" t="s">
        <v>1708</v>
      </c>
      <c r="G33" s="417" t="s">
        <v>1651</v>
      </c>
      <c r="H33" s="415"/>
      <c r="I33" s="415" t="s">
        <v>1653</v>
      </c>
      <c r="J33" s="414"/>
      <c r="K33" s="449" t="s">
        <v>1654</v>
      </c>
      <c r="L33" s="450" t="s">
        <v>391</v>
      </c>
      <c r="M33" s="450" t="s">
        <v>249</v>
      </c>
      <c r="N33" s="451" t="s">
        <v>397</v>
      </c>
      <c r="O33" s="451" t="s">
        <v>398</v>
      </c>
      <c r="P33" s="452" t="s">
        <v>399</v>
      </c>
    </row>
    <row r="34" spans="1:21">
      <c r="A34" s="397" t="s">
        <v>635</v>
      </c>
      <c r="B34" s="307"/>
      <c r="C34" s="307"/>
      <c r="D34" s="307"/>
      <c r="E34" s="307"/>
      <c r="F34" s="307"/>
      <c r="G34" s="307"/>
      <c r="H34" s="307"/>
      <c r="I34" s="307"/>
      <c r="J34" s="418"/>
      <c r="K34" s="453"/>
      <c r="L34" s="329"/>
      <c r="M34" s="329"/>
      <c r="N34" s="329"/>
      <c r="O34" s="329"/>
      <c r="P34" s="454"/>
      <c r="Q34" s="25"/>
      <c r="R34" s="25"/>
      <c r="S34" s="25"/>
      <c r="T34" s="25"/>
      <c r="U34" s="25"/>
    </row>
    <row r="35" spans="1:21">
      <c r="A35" s="395" t="s">
        <v>443</v>
      </c>
      <c r="B35" s="448">
        <v>0</v>
      </c>
      <c r="C35" s="307" t="s">
        <v>39</v>
      </c>
      <c r="D35" s="828" t="s">
        <v>37</v>
      </c>
      <c r="E35" s="307"/>
      <c r="F35" s="635">
        <v>0</v>
      </c>
      <c r="G35" s="419">
        <f t="shared" ref="G35:G50" si="0">F35*B35</f>
        <v>0</v>
      </c>
      <c r="H35" s="35"/>
      <c r="I35" s="325">
        <v>0</v>
      </c>
      <c r="J35" s="420" t="s">
        <v>1203</v>
      </c>
      <c r="K35" s="907">
        <f>11900*0.88</f>
        <v>10472</v>
      </c>
      <c r="L35" s="908">
        <f t="shared" ref="L35:L50" si="1">K35*H35</f>
        <v>0</v>
      </c>
      <c r="M35" s="908">
        <f t="shared" ref="M35:M50" si="2">K35*I35</f>
        <v>0</v>
      </c>
      <c r="N35" s="326">
        <v>12.65</v>
      </c>
      <c r="O35" s="326">
        <v>2.93</v>
      </c>
      <c r="P35" s="455">
        <v>3.61</v>
      </c>
      <c r="Q35" s="25"/>
      <c r="R35" s="25"/>
      <c r="S35" s="25"/>
      <c r="T35" s="25"/>
      <c r="U35" s="25"/>
    </row>
    <row r="36" spans="1:21">
      <c r="A36" s="395" t="s">
        <v>444</v>
      </c>
      <c r="B36" s="448">
        <v>0</v>
      </c>
      <c r="C36" s="307" t="s">
        <v>39</v>
      </c>
      <c r="D36" s="828" t="s">
        <v>37</v>
      </c>
      <c r="E36" s="307"/>
      <c r="F36" s="635">
        <v>0</v>
      </c>
      <c r="G36" s="419">
        <f t="shared" si="0"/>
        <v>0</v>
      </c>
      <c r="H36" s="35"/>
      <c r="I36" s="325">
        <v>0</v>
      </c>
      <c r="J36" s="420" t="s">
        <v>1203</v>
      </c>
      <c r="K36" s="907">
        <f>13700*0.86</f>
        <v>11782</v>
      </c>
      <c r="L36" s="908">
        <f t="shared" si="1"/>
        <v>0</v>
      </c>
      <c r="M36" s="908">
        <f t="shared" si="2"/>
        <v>0</v>
      </c>
      <c r="N36" s="326">
        <v>12.65</v>
      </c>
      <c r="O36" s="326">
        <v>2.93</v>
      </c>
      <c r="P36" s="455">
        <v>3.61</v>
      </c>
      <c r="Q36" s="25"/>
      <c r="R36" s="25"/>
      <c r="S36" s="25"/>
      <c r="T36" s="25"/>
      <c r="U36" s="25"/>
    </row>
    <row r="37" spans="1:21">
      <c r="A37" s="395" t="s">
        <v>400</v>
      </c>
      <c r="B37" s="448">
        <v>0</v>
      </c>
      <c r="C37" s="307" t="s">
        <v>39</v>
      </c>
      <c r="D37" s="828" t="s">
        <v>37</v>
      </c>
      <c r="E37" s="307"/>
      <c r="F37" s="635">
        <v>0</v>
      </c>
      <c r="G37" s="419">
        <f t="shared" si="0"/>
        <v>0</v>
      </c>
      <c r="H37" s="35"/>
      <c r="I37" s="325">
        <v>0</v>
      </c>
      <c r="J37" s="420" t="s">
        <v>1203</v>
      </c>
      <c r="K37" s="907">
        <f>13300*0.84</f>
        <v>11172</v>
      </c>
      <c r="L37" s="908">
        <f t="shared" si="1"/>
        <v>0</v>
      </c>
      <c r="M37" s="908">
        <f t="shared" si="2"/>
        <v>0</v>
      </c>
      <c r="N37" s="326">
        <v>17</v>
      </c>
      <c r="O37" s="326">
        <v>2.97</v>
      </c>
      <c r="P37" s="455">
        <v>3.53</v>
      </c>
      <c r="Q37" s="25"/>
      <c r="R37" s="25"/>
      <c r="S37" s="25"/>
      <c r="T37" s="25"/>
      <c r="U37" s="25"/>
    </row>
    <row r="38" spans="1:21">
      <c r="A38" s="395" t="s">
        <v>401</v>
      </c>
      <c r="B38" s="448">
        <v>0</v>
      </c>
      <c r="C38" s="307" t="s">
        <v>39</v>
      </c>
      <c r="D38" s="828" t="s">
        <v>37</v>
      </c>
      <c r="E38" s="307"/>
      <c r="F38" s="635">
        <v>0</v>
      </c>
      <c r="G38" s="419">
        <f t="shared" si="0"/>
        <v>0</v>
      </c>
      <c r="H38" s="35"/>
      <c r="I38" s="325">
        <v>0</v>
      </c>
      <c r="J38" s="420" t="s">
        <v>1203</v>
      </c>
      <c r="K38" s="907">
        <f>12100*0.86</f>
        <v>10406</v>
      </c>
      <c r="L38" s="908">
        <f t="shared" si="1"/>
        <v>0</v>
      </c>
      <c r="M38" s="908">
        <f t="shared" si="2"/>
        <v>0</v>
      </c>
      <c r="N38" s="326">
        <v>14.45</v>
      </c>
      <c r="O38" s="326">
        <v>2.97</v>
      </c>
      <c r="P38" s="455">
        <v>3.63</v>
      </c>
      <c r="Q38" s="25"/>
      <c r="R38" s="25"/>
      <c r="S38" s="25"/>
      <c r="T38" s="25"/>
      <c r="U38" s="25"/>
    </row>
    <row r="39" spans="1:21">
      <c r="A39" s="395" t="s">
        <v>40</v>
      </c>
      <c r="B39" s="448">
        <v>0</v>
      </c>
      <c r="C39" s="307" t="s">
        <v>39</v>
      </c>
      <c r="D39" s="828" t="s">
        <v>37</v>
      </c>
      <c r="E39" s="307"/>
      <c r="F39" s="635">
        <v>0</v>
      </c>
      <c r="G39" s="419">
        <f t="shared" si="0"/>
        <v>0</v>
      </c>
      <c r="H39" s="35"/>
      <c r="I39" s="325">
        <v>0</v>
      </c>
      <c r="J39" s="420" t="s">
        <v>1203</v>
      </c>
      <c r="K39" s="907">
        <f>14000*0.87</f>
        <v>12180</v>
      </c>
      <c r="L39" s="908">
        <f t="shared" si="1"/>
        <v>0</v>
      </c>
      <c r="M39" s="908">
        <f t="shared" si="2"/>
        <v>0</v>
      </c>
      <c r="N39" s="326">
        <v>17</v>
      </c>
      <c r="O39" s="326">
        <v>9</v>
      </c>
      <c r="P39" s="455">
        <v>6</v>
      </c>
      <c r="Q39" s="25"/>
      <c r="R39" s="25"/>
      <c r="S39" s="25"/>
      <c r="T39" s="25"/>
      <c r="U39" s="25"/>
    </row>
    <row r="40" spans="1:21">
      <c r="A40" s="395" t="s">
        <v>402</v>
      </c>
      <c r="B40" s="448">
        <v>0</v>
      </c>
      <c r="C40" s="307" t="s">
        <v>39</v>
      </c>
      <c r="D40" s="828" t="s">
        <v>37</v>
      </c>
      <c r="E40" s="307"/>
      <c r="F40" s="635">
        <v>0</v>
      </c>
      <c r="G40" s="419">
        <f t="shared" si="0"/>
        <v>0</v>
      </c>
      <c r="H40" s="35"/>
      <c r="I40" s="325">
        <v>0</v>
      </c>
      <c r="J40" s="420" t="s">
        <v>1203</v>
      </c>
      <c r="K40" s="907">
        <f>14000*0.87</f>
        <v>12180</v>
      </c>
      <c r="L40" s="908">
        <f t="shared" si="1"/>
        <v>0</v>
      </c>
      <c r="M40" s="908">
        <f t="shared" si="2"/>
        <v>0</v>
      </c>
      <c r="N40" s="326">
        <v>12.75</v>
      </c>
      <c r="O40" s="326">
        <v>2.93</v>
      </c>
      <c r="P40" s="455">
        <v>3.53</v>
      </c>
      <c r="Q40" s="25"/>
      <c r="R40" s="25"/>
      <c r="S40" s="25"/>
      <c r="T40" s="25"/>
      <c r="U40" s="25"/>
    </row>
    <row r="41" spans="1:21">
      <c r="A41" s="395" t="s">
        <v>599</v>
      </c>
      <c r="B41" s="448">
        <v>0</v>
      </c>
      <c r="C41" s="307" t="s">
        <v>39</v>
      </c>
      <c r="D41" s="828" t="s">
        <v>37</v>
      </c>
      <c r="E41" s="307"/>
      <c r="F41" s="635">
        <v>0</v>
      </c>
      <c r="G41" s="419">
        <f t="shared" si="0"/>
        <v>0</v>
      </c>
      <c r="H41" s="35"/>
      <c r="I41" s="325">
        <v>0</v>
      </c>
      <c r="J41" s="420" t="s">
        <v>1203</v>
      </c>
      <c r="K41" s="907">
        <f>AVERAGE(K35:K40)</f>
        <v>11365.333333333334</v>
      </c>
      <c r="L41" s="908">
        <f t="shared" si="1"/>
        <v>0</v>
      </c>
      <c r="M41" s="908">
        <f t="shared" si="2"/>
        <v>0</v>
      </c>
      <c r="N41" s="326">
        <f>AVERAGE(N35:N40)</f>
        <v>14.416666666666666</v>
      </c>
      <c r="O41" s="326">
        <f>AVERAGE(O35:O40)</f>
        <v>3.9550000000000001</v>
      </c>
      <c r="P41" s="455">
        <f>AVERAGE(P35:P40)</f>
        <v>3.9849999999999999</v>
      </c>
      <c r="Q41" s="25"/>
      <c r="R41" s="25"/>
      <c r="S41" s="25"/>
      <c r="T41" s="25"/>
      <c r="U41" s="25"/>
    </row>
    <row r="42" spans="1:21">
      <c r="A42" s="395" t="s">
        <v>396</v>
      </c>
      <c r="B42" s="448">
        <v>0</v>
      </c>
      <c r="C42" s="307" t="s">
        <v>39</v>
      </c>
      <c r="D42" s="828" t="s">
        <v>37</v>
      </c>
      <c r="E42" s="307"/>
      <c r="F42" s="635">
        <v>0</v>
      </c>
      <c r="G42" s="419">
        <f t="shared" si="0"/>
        <v>0</v>
      </c>
      <c r="H42" s="35"/>
      <c r="I42" s="325">
        <v>0</v>
      </c>
      <c r="J42" s="420" t="s">
        <v>1203</v>
      </c>
      <c r="K42" s="907">
        <f>13500*0.87</f>
        <v>11745</v>
      </c>
      <c r="L42" s="908">
        <f t="shared" si="1"/>
        <v>0</v>
      </c>
      <c r="M42" s="908">
        <f t="shared" si="2"/>
        <v>0</v>
      </c>
      <c r="N42" s="326">
        <v>54</v>
      </c>
      <c r="O42" s="326">
        <v>7.85</v>
      </c>
      <c r="P42" s="455">
        <v>26.04</v>
      </c>
      <c r="Q42" s="25"/>
      <c r="R42" s="25"/>
      <c r="S42" s="25"/>
      <c r="T42" s="25"/>
      <c r="U42" s="25"/>
    </row>
    <row r="43" spans="1:21">
      <c r="A43" s="395" t="s">
        <v>218</v>
      </c>
      <c r="B43" s="448">
        <v>0</v>
      </c>
      <c r="C43" s="307" t="s">
        <v>39</v>
      </c>
      <c r="D43" s="828" t="s">
        <v>37</v>
      </c>
      <c r="E43" s="307"/>
      <c r="F43" s="635">
        <v>0</v>
      </c>
      <c r="G43" s="419">
        <f t="shared" si="0"/>
        <v>0</v>
      </c>
      <c r="H43" s="35"/>
      <c r="I43" s="325">
        <v>0</v>
      </c>
      <c r="J43" s="420" t="s">
        <v>1203</v>
      </c>
      <c r="K43" s="907">
        <f>13100*0.85</f>
        <v>11135</v>
      </c>
      <c r="L43" s="908">
        <f t="shared" si="1"/>
        <v>0</v>
      </c>
      <c r="M43" s="908">
        <f t="shared" si="2"/>
        <v>0</v>
      </c>
      <c r="N43" s="326">
        <v>55.94</v>
      </c>
      <c r="O43" s="326">
        <f>7.85/2.291</f>
        <v>3.4264513312963771</v>
      </c>
      <c r="P43" s="455">
        <f>33.57/1.205</f>
        <v>27.858921161825723</v>
      </c>
      <c r="Q43" s="25"/>
      <c r="R43" s="25"/>
      <c r="S43" s="25"/>
      <c r="T43" s="25"/>
      <c r="U43" s="25"/>
    </row>
    <row r="44" spans="1:21">
      <c r="A44" s="395" t="s">
        <v>45</v>
      </c>
      <c r="B44" s="448">
        <v>0</v>
      </c>
      <c r="C44" s="307" t="s">
        <v>39</v>
      </c>
      <c r="D44" s="828" t="s">
        <v>37</v>
      </c>
      <c r="E44" s="307"/>
      <c r="F44" s="635">
        <v>0</v>
      </c>
      <c r="G44" s="419">
        <f t="shared" si="0"/>
        <v>0</v>
      </c>
      <c r="H44" s="35"/>
      <c r="I44" s="325">
        <v>0</v>
      </c>
      <c r="J44" s="420" t="s">
        <v>1203</v>
      </c>
      <c r="K44" s="907">
        <v>11340</v>
      </c>
      <c r="L44" s="908">
        <f t="shared" si="1"/>
        <v>0</v>
      </c>
      <c r="M44" s="908">
        <f t="shared" si="2"/>
        <v>0</v>
      </c>
      <c r="N44" s="326">
        <v>3</v>
      </c>
      <c r="O44" s="326">
        <f>2/2.291</f>
        <v>0.87298123090353563</v>
      </c>
      <c r="P44" s="455">
        <f>3/1.205</f>
        <v>2.4896265560165975</v>
      </c>
      <c r="Q44" s="25"/>
      <c r="R44" s="25"/>
      <c r="S44" s="25"/>
      <c r="T44" s="25"/>
      <c r="U44" s="25"/>
    </row>
    <row r="45" spans="1:21">
      <c r="A45" s="395" t="s">
        <v>46</v>
      </c>
      <c r="B45" s="448">
        <v>0</v>
      </c>
      <c r="C45" s="307" t="s">
        <v>39</v>
      </c>
      <c r="D45" s="828" t="s">
        <v>37</v>
      </c>
      <c r="E45" s="307"/>
      <c r="F45" s="635">
        <v>0</v>
      </c>
      <c r="G45" s="419">
        <f t="shared" si="0"/>
        <v>0</v>
      </c>
      <c r="H45" s="35"/>
      <c r="I45" s="325">
        <v>0</v>
      </c>
      <c r="J45" s="420" t="s">
        <v>1203</v>
      </c>
      <c r="K45" s="907">
        <v>11000</v>
      </c>
      <c r="L45" s="908">
        <f t="shared" si="1"/>
        <v>0</v>
      </c>
      <c r="M45" s="908">
        <f t="shared" si="2"/>
        <v>0</v>
      </c>
      <c r="N45" s="326">
        <v>3</v>
      </c>
      <c r="O45" s="326">
        <f>2/2.291</f>
        <v>0.87298123090353563</v>
      </c>
      <c r="P45" s="455">
        <f>3/1.205</f>
        <v>2.4896265560165975</v>
      </c>
      <c r="Q45" s="25"/>
      <c r="R45" s="25"/>
      <c r="S45" s="25"/>
      <c r="T45" s="25"/>
      <c r="U45" s="25"/>
    </row>
    <row r="46" spans="1:21">
      <c r="A46" s="395" t="s">
        <v>41</v>
      </c>
      <c r="B46" s="448">
        <v>0</v>
      </c>
      <c r="C46" s="307" t="s">
        <v>39</v>
      </c>
      <c r="D46" s="828" t="s">
        <v>37</v>
      </c>
      <c r="E46" s="307"/>
      <c r="F46" s="635">
        <v>0</v>
      </c>
      <c r="G46" s="419">
        <f t="shared" si="0"/>
        <v>0</v>
      </c>
      <c r="H46" s="35"/>
      <c r="I46" s="325">
        <v>0</v>
      </c>
      <c r="J46" s="420" t="s">
        <v>1203</v>
      </c>
      <c r="K46" s="907">
        <v>2680</v>
      </c>
      <c r="L46" s="908">
        <f t="shared" si="1"/>
        <v>0</v>
      </c>
      <c r="M46" s="908">
        <f t="shared" si="2"/>
        <v>0</v>
      </c>
      <c r="N46" s="326">
        <v>2.7</v>
      </c>
      <c r="O46" s="326">
        <f>0.6/2.291</f>
        <v>0.26189436927106069</v>
      </c>
      <c r="P46" s="455">
        <f>4.92/1.205</f>
        <v>4.0829875518672196</v>
      </c>
      <c r="Q46" s="25"/>
      <c r="R46" s="25"/>
      <c r="S46" s="25"/>
      <c r="T46" s="25"/>
      <c r="U46" s="25"/>
    </row>
    <row r="47" spans="1:21">
      <c r="A47" s="395" t="s">
        <v>1148</v>
      </c>
      <c r="B47" s="448">
        <v>0</v>
      </c>
      <c r="C47" s="307" t="s">
        <v>39</v>
      </c>
      <c r="D47" s="828" t="s">
        <v>37</v>
      </c>
      <c r="E47" s="307"/>
      <c r="F47" s="635">
        <v>0</v>
      </c>
      <c r="G47" s="419">
        <f t="shared" si="0"/>
        <v>0</v>
      </c>
      <c r="H47" s="35"/>
      <c r="I47" s="325">
        <v>0</v>
      </c>
      <c r="J47" s="420" t="s">
        <v>1203</v>
      </c>
      <c r="K47" s="907">
        <v>10800</v>
      </c>
      <c r="L47" s="908">
        <f t="shared" si="1"/>
        <v>0</v>
      </c>
      <c r="M47" s="908">
        <f t="shared" si="2"/>
        <v>0</v>
      </c>
      <c r="N47" s="326">
        <v>30</v>
      </c>
      <c r="O47" s="326">
        <f>14/2.291</f>
        <v>6.1108686163247494</v>
      </c>
      <c r="P47" s="455">
        <f>11/1.205</f>
        <v>9.1286307053941904</v>
      </c>
      <c r="Q47" s="25"/>
      <c r="R47" s="25"/>
      <c r="S47" s="25"/>
      <c r="T47" s="25"/>
      <c r="U47" s="25"/>
    </row>
    <row r="48" spans="1:21">
      <c r="A48" s="395" t="s">
        <v>1152</v>
      </c>
      <c r="B48" s="448">
        <v>0</v>
      </c>
      <c r="C48" s="307" t="s">
        <v>39</v>
      </c>
      <c r="D48" s="828" t="s">
        <v>37</v>
      </c>
      <c r="E48" s="307"/>
      <c r="F48" s="635">
        <v>0</v>
      </c>
      <c r="G48" s="419">
        <f t="shared" si="0"/>
        <v>0</v>
      </c>
      <c r="H48" s="35"/>
      <c r="I48" s="325">
        <v>0</v>
      </c>
      <c r="J48" s="420" t="s">
        <v>1203</v>
      </c>
      <c r="K48" s="907">
        <v>13230</v>
      </c>
      <c r="L48" s="908">
        <f t="shared" si="1"/>
        <v>0</v>
      </c>
      <c r="M48" s="908">
        <f t="shared" si="2"/>
        <v>0</v>
      </c>
      <c r="N48" s="329">
        <v>40.32</v>
      </c>
      <c r="O48" s="329">
        <f>20.61/2.291</f>
        <v>8.9960715844609336</v>
      </c>
      <c r="P48" s="454">
        <f>11.93/1.205</f>
        <v>9.9004149377593347</v>
      </c>
      <c r="Q48" s="25"/>
      <c r="R48" s="25"/>
      <c r="S48" s="25"/>
      <c r="T48" s="25"/>
      <c r="U48" s="25"/>
    </row>
    <row r="49" spans="1:21">
      <c r="A49" s="395" t="s">
        <v>1149</v>
      </c>
      <c r="B49" s="448">
        <v>0</v>
      </c>
      <c r="C49" s="307" t="s">
        <v>39</v>
      </c>
      <c r="D49" s="828" t="s">
        <v>37</v>
      </c>
      <c r="E49" s="307"/>
      <c r="F49" s="635">
        <v>0</v>
      </c>
      <c r="G49" s="419">
        <f t="shared" si="0"/>
        <v>0</v>
      </c>
      <c r="H49" s="35"/>
      <c r="I49" s="325">
        <v>0</v>
      </c>
      <c r="J49" s="420" t="s">
        <v>1203</v>
      </c>
      <c r="K49" s="907">
        <v>10472</v>
      </c>
      <c r="L49" s="908">
        <f t="shared" si="1"/>
        <v>0</v>
      </c>
      <c r="M49" s="908">
        <f t="shared" si="2"/>
        <v>0</v>
      </c>
      <c r="N49" s="326">
        <v>38</v>
      </c>
      <c r="O49" s="326">
        <f>13.72/2.291</f>
        <v>5.9886512439982544</v>
      </c>
      <c r="P49" s="455">
        <f>8.11/1.205</f>
        <v>6.7302904564315345</v>
      </c>
      <c r="Q49" s="25"/>
      <c r="R49" s="25"/>
      <c r="S49" s="25"/>
      <c r="T49" s="25"/>
      <c r="U49" s="25"/>
    </row>
    <row r="50" spans="1:21">
      <c r="A50" s="395" t="s">
        <v>1150</v>
      </c>
      <c r="B50" s="448">
        <v>0</v>
      </c>
      <c r="C50" s="307" t="s">
        <v>39</v>
      </c>
      <c r="D50" s="828" t="s">
        <v>37</v>
      </c>
      <c r="E50" s="307"/>
      <c r="F50" s="635">
        <v>0</v>
      </c>
      <c r="G50" s="419">
        <f t="shared" si="0"/>
        <v>0</v>
      </c>
      <c r="H50" s="35"/>
      <c r="I50" s="325">
        <v>0</v>
      </c>
      <c r="J50" s="420" t="s">
        <v>1203</v>
      </c>
      <c r="K50" s="907">
        <v>9600</v>
      </c>
      <c r="L50" s="908">
        <f t="shared" si="1"/>
        <v>0</v>
      </c>
      <c r="M50" s="908">
        <f t="shared" si="2"/>
        <v>0</v>
      </c>
      <c r="N50" s="329">
        <v>24</v>
      </c>
      <c r="O50" s="329">
        <v>7.1</v>
      </c>
      <c r="P50" s="454">
        <v>1.7</v>
      </c>
      <c r="Q50" s="25"/>
      <c r="R50" s="25"/>
      <c r="S50" s="25"/>
      <c r="T50" s="25"/>
      <c r="U50" s="25"/>
    </row>
    <row r="51" spans="1:21">
      <c r="A51" s="397" t="s">
        <v>1145</v>
      </c>
      <c r="B51" s="44"/>
      <c r="C51" s="44"/>
      <c r="D51" s="829"/>
      <c r="E51" s="44"/>
      <c r="F51" s="310"/>
      <c r="G51" s="44"/>
      <c r="H51" s="35"/>
      <c r="I51" s="310"/>
      <c r="J51" s="420"/>
      <c r="K51" s="456"/>
      <c r="L51" s="327"/>
      <c r="M51" s="327"/>
      <c r="P51" s="457"/>
      <c r="Q51" s="25"/>
      <c r="R51" s="25"/>
      <c r="S51" s="25"/>
      <c r="T51" s="25"/>
      <c r="U51" s="25"/>
    </row>
    <row r="52" spans="1:21">
      <c r="A52" s="395" t="s">
        <v>585</v>
      </c>
      <c r="B52" s="448">
        <v>0</v>
      </c>
      <c r="C52" s="307" t="s">
        <v>39</v>
      </c>
      <c r="D52" s="828" t="s">
        <v>37</v>
      </c>
      <c r="E52" s="307"/>
      <c r="F52" s="635">
        <v>0</v>
      </c>
      <c r="G52" s="419">
        <f t="shared" ref="G52:G66" si="3">F52*B52</f>
        <v>0</v>
      </c>
      <c r="H52" s="35"/>
      <c r="I52" s="325">
        <v>0</v>
      </c>
      <c r="J52" s="420" t="s">
        <v>1203</v>
      </c>
      <c r="K52" s="907">
        <v>1799</v>
      </c>
      <c r="L52" s="908">
        <f t="shared" ref="L52:L66" si="4">K52*H52</f>
        <v>0</v>
      </c>
      <c r="M52" s="908">
        <f t="shared" ref="M52:M66" si="5">K52*I52</f>
        <v>0</v>
      </c>
      <c r="N52" s="326">
        <v>3</v>
      </c>
      <c r="O52" s="326">
        <f>1/2.291</f>
        <v>0.43649061545176782</v>
      </c>
      <c r="P52" s="455">
        <f>4/1.205</f>
        <v>3.3195020746887964</v>
      </c>
      <c r="Q52" s="25"/>
      <c r="R52" s="25"/>
      <c r="S52" s="25"/>
      <c r="T52" s="25"/>
      <c r="U52" s="25"/>
    </row>
    <row r="53" spans="1:21">
      <c r="A53" s="395" t="s">
        <v>393</v>
      </c>
      <c r="B53" s="448">
        <v>0</v>
      </c>
      <c r="C53" s="307" t="s">
        <v>39</v>
      </c>
      <c r="D53" s="828" t="s">
        <v>37</v>
      </c>
      <c r="E53" s="307"/>
      <c r="F53" s="635">
        <v>0</v>
      </c>
      <c r="G53" s="419">
        <f t="shared" si="3"/>
        <v>0</v>
      </c>
      <c r="H53" s="35"/>
      <c r="I53" s="325">
        <v>0</v>
      </c>
      <c r="J53" s="420" t="s">
        <v>1203</v>
      </c>
      <c r="K53" s="907">
        <v>805</v>
      </c>
      <c r="L53" s="908">
        <f t="shared" si="4"/>
        <v>0</v>
      </c>
      <c r="M53" s="908">
        <f t="shared" si="5"/>
        <v>0</v>
      </c>
      <c r="N53" s="326">
        <v>3</v>
      </c>
      <c r="O53" s="326">
        <f>1/2.291</f>
        <v>0.43649061545176782</v>
      </c>
      <c r="P53" s="455">
        <f>4/1.205</f>
        <v>3.3195020746887964</v>
      </c>
      <c r="Q53" s="25"/>
      <c r="R53" s="25"/>
      <c r="S53" s="25"/>
      <c r="T53" s="25"/>
      <c r="U53" s="25"/>
    </row>
    <row r="54" spans="1:21">
      <c r="A54" s="395" t="s">
        <v>394</v>
      </c>
      <c r="B54" s="448">
        <v>0</v>
      </c>
      <c r="C54" s="307" t="s">
        <v>39</v>
      </c>
      <c r="D54" s="828" t="s">
        <v>37</v>
      </c>
      <c r="E54" s="307"/>
      <c r="F54" s="635">
        <v>0</v>
      </c>
      <c r="G54" s="419">
        <f t="shared" si="3"/>
        <v>0</v>
      </c>
      <c r="H54" s="35"/>
      <c r="I54" s="325">
        <v>0</v>
      </c>
      <c r="J54" s="420" t="s">
        <v>1203</v>
      </c>
      <c r="K54" s="907">
        <v>1031</v>
      </c>
      <c r="L54" s="908">
        <f t="shared" si="4"/>
        <v>0</v>
      </c>
      <c r="M54" s="908">
        <f t="shared" si="5"/>
        <v>0</v>
      </c>
      <c r="N54" s="326">
        <v>4</v>
      </c>
      <c r="O54" s="326">
        <f>1/2.291</f>
        <v>0.43649061545176782</v>
      </c>
      <c r="P54" s="455">
        <f>5/1.205</f>
        <v>4.1493775933609953</v>
      </c>
      <c r="Q54" s="25"/>
      <c r="R54" s="25"/>
      <c r="S54" s="25"/>
      <c r="T54" s="25"/>
      <c r="U54" s="25"/>
    </row>
    <row r="55" spans="1:21">
      <c r="A55" s="395" t="s">
        <v>395</v>
      </c>
      <c r="B55" s="448">
        <v>0</v>
      </c>
      <c r="C55" s="307" t="s">
        <v>39</v>
      </c>
      <c r="D55" s="828" t="s">
        <v>37</v>
      </c>
      <c r="E55" s="307"/>
      <c r="F55" s="635">
        <v>0</v>
      </c>
      <c r="G55" s="419">
        <f t="shared" si="3"/>
        <v>0</v>
      </c>
      <c r="H55" s="35"/>
      <c r="I55" s="325">
        <v>0</v>
      </c>
      <c r="J55" s="420" t="s">
        <v>1203</v>
      </c>
      <c r="K55" s="907">
        <v>1420</v>
      </c>
      <c r="L55" s="908">
        <f t="shared" si="4"/>
        <v>0</v>
      </c>
      <c r="M55" s="908">
        <f t="shared" si="5"/>
        <v>0</v>
      </c>
      <c r="N55" s="326">
        <v>3</v>
      </c>
      <c r="O55" s="326">
        <f>1/2.291</f>
        <v>0.43649061545176782</v>
      </c>
      <c r="P55" s="455">
        <f>4/1.205</f>
        <v>3.3195020746887964</v>
      </c>
      <c r="Q55" s="25"/>
      <c r="R55" s="25"/>
      <c r="S55" s="25"/>
      <c r="T55" s="25"/>
      <c r="U55" s="25"/>
    </row>
    <row r="56" spans="1:21">
      <c r="A56" s="395" t="s">
        <v>123</v>
      </c>
      <c r="B56" s="448">
        <v>0</v>
      </c>
      <c r="C56" s="307" t="s">
        <v>39</v>
      </c>
      <c r="D56" s="828" t="s">
        <v>37</v>
      </c>
      <c r="E56" s="307"/>
      <c r="F56" s="635">
        <v>0</v>
      </c>
      <c r="G56" s="419">
        <f t="shared" si="3"/>
        <v>0</v>
      </c>
      <c r="H56" s="35"/>
      <c r="I56" s="325">
        <v>0</v>
      </c>
      <c r="J56" s="420" t="s">
        <v>1203</v>
      </c>
      <c r="K56" s="907">
        <v>837</v>
      </c>
      <c r="L56" s="908">
        <f t="shared" si="4"/>
        <v>0</v>
      </c>
      <c r="M56" s="908">
        <f t="shared" si="5"/>
        <v>0</v>
      </c>
      <c r="N56" s="326">
        <v>3</v>
      </c>
      <c r="O56" s="329">
        <f>1/2.291</f>
        <v>0.43649061545176782</v>
      </c>
      <c r="P56" s="455">
        <f>4/1.205</f>
        <v>3.3195020746887964</v>
      </c>
      <c r="Q56" s="25"/>
      <c r="R56" s="25"/>
      <c r="S56" s="25"/>
      <c r="T56" s="25"/>
      <c r="U56" s="25"/>
    </row>
    <row r="57" spans="1:21">
      <c r="A57" s="395" t="s">
        <v>126</v>
      </c>
      <c r="B57" s="448">
        <v>0</v>
      </c>
      <c r="C57" s="307" t="s">
        <v>39</v>
      </c>
      <c r="D57" s="828" t="s">
        <v>37</v>
      </c>
      <c r="E57" s="307"/>
      <c r="F57" s="635">
        <v>0</v>
      </c>
      <c r="G57" s="419">
        <f t="shared" si="3"/>
        <v>0</v>
      </c>
      <c r="H57" s="35"/>
      <c r="I57" s="325">
        <v>0</v>
      </c>
      <c r="J57" s="420" t="s">
        <v>1203</v>
      </c>
      <c r="K57" s="907">
        <v>1031</v>
      </c>
      <c r="L57" s="908">
        <f t="shared" si="4"/>
        <v>0</v>
      </c>
      <c r="M57" s="908">
        <f t="shared" si="5"/>
        <v>0</v>
      </c>
      <c r="N57" s="326">
        <v>11</v>
      </c>
      <c r="O57" s="326">
        <f>2/2.291</f>
        <v>0.87298123090353563</v>
      </c>
      <c r="P57" s="455">
        <f>7/1.205</f>
        <v>5.809128630705394</v>
      </c>
      <c r="Q57" s="25"/>
      <c r="R57" s="25"/>
      <c r="S57" s="25"/>
      <c r="T57" s="25"/>
      <c r="U57" s="25"/>
    </row>
    <row r="58" spans="1:21">
      <c r="A58" s="395" t="s">
        <v>125</v>
      </c>
      <c r="B58" s="448">
        <v>0</v>
      </c>
      <c r="C58" s="307" t="s">
        <v>39</v>
      </c>
      <c r="D58" s="828" t="s">
        <v>37</v>
      </c>
      <c r="E58" s="307"/>
      <c r="F58" s="635">
        <v>0</v>
      </c>
      <c r="G58" s="419">
        <f t="shared" si="3"/>
        <v>0</v>
      </c>
      <c r="H58" s="35"/>
      <c r="I58" s="325">
        <v>0</v>
      </c>
      <c r="J58" s="420" t="s">
        <v>1203</v>
      </c>
      <c r="K58" s="907">
        <v>662</v>
      </c>
      <c r="L58" s="908">
        <f t="shared" si="4"/>
        <v>0</v>
      </c>
      <c r="M58" s="908">
        <f t="shared" si="5"/>
        <v>0</v>
      </c>
      <c r="N58" s="326">
        <v>2</v>
      </c>
      <c r="O58" s="326">
        <f>1/2.291</f>
        <v>0.43649061545176782</v>
      </c>
      <c r="P58" s="455">
        <f>4/1.205</f>
        <v>3.3195020746887964</v>
      </c>
      <c r="Q58" s="25"/>
      <c r="R58" s="25"/>
      <c r="S58" s="25"/>
      <c r="T58" s="25"/>
      <c r="U58" s="25"/>
    </row>
    <row r="59" spans="1:21">
      <c r="A59" s="395" t="s">
        <v>1174</v>
      </c>
      <c r="B59" s="448">
        <v>0</v>
      </c>
      <c r="C59" s="307" t="s">
        <v>39</v>
      </c>
      <c r="D59" s="828" t="s">
        <v>37</v>
      </c>
      <c r="E59" s="307"/>
      <c r="F59" s="635">
        <v>0</v>
      </c>
      <c r="G59" s="419">
        <f t="shared" si="3"/>
        <v>0</v>
      </c>
      <c r="H59" s="35"/>
      <c r="I59" s="325">
        <v>0</v>
      </c>
      <c r="J59" s="420" t="s">
        <v>1203</v>
      </c>
      <c r="K59" s="907">
        <v>3138</v>
      </c>
      <c r="L59" s="908">
        <f t="shared" si="4"/>
        <v>0</v>
      </c>
      <c r="M59" s="908">
        <f t="shared" si="5"/>
        <v>0</v>
      </c>
      <c r="N59" s="326">
        <v>2.4</v>
      </c>
      <c r="O59" s="326">
        <f>1.6/2.291</f>
        <v>0.69838498472282851</v>
      </c>
      <c r="P59" s="455">
        <f>4/1.205</f>
        <v>3.3195020746887964</v>
      </c>
      <c r="Q59" s="25"/>
      <c r="R59" s="25"/>
      <c r="S59" s="25"/>
      <c r="T59" s="25"/>
      <c r="U59" s="25"/>
    </row>
    <row r="60" spans="1:21">
      <c r="A60" s="395" t="s">
        <v>42</v>
      </c>
      <c r="B60" s="448">
        <v>0</v>
      </c>
      <c r="C60" s="307" t="s">
        <v>39</v>
      </c>
      <c r="D60" s="828" t="s">
        <v>37</v>
      </c>
      <c r="E60" s="307"/>
      <c r="F60" s="635">
        <v>0</v>
      </c>
      <c r="G60" s="419">
        <f t="shared" si="3"/>
        <v>0</v>
      </c>
      <c r="H60" s="35"/>
      <c r="I60" s="325">
        <v>0</v>
      </c>
      <c r="J60" s="420" t="s">
        <v>1203</v>
      </c>
      <c r="K60" s="907">
        <v>1715</v>
      </c>
      <c r="L60" s="908">
        <f t="shared" si="4"/>
        <v>0</v>
      </c>
      <c r="M60" s="908">
        <f t="shared" si="5"/>
        <v>0</v>
      </c>
      <c r="N60" s="326">
        <v>2</v>
      </c>
      <c r="O60" s="326">
        <v>1</v>
      </c>
      <c r="P60" s="455">
        <v>3</v>
      </c>
      <c r="Q60" s="25"/>
      <c r="R60" s="25"/>
      <c r="S60" s="25"/>
      <c r="T60" s="25"/>
      <c r="U60" s="25"/>
    </row>
    <row r="61" spans="1:21">
      <c r="A61" s="395" t="s">
        <v>124</v>
      </c>
      <c r="B61" s="448">
        <v>0</v>
      </c>
      <c r="C61" s="307" t="s">
        <v>39</v>
      </c>
      <c r="D61" s="828" t="s">
        <v>37</v>
      </c>
      <c r="E61" s="307"/>
      <c r="F61" s="635">
        <v>0</v>
      </c>
      <c r="G61" s="419">
        <f t="shared" si="3"/>
        <v>0</v>
      </c>
      <c r="H61" s="35"/>
      <c r="I61" s="325">
        <v>0</v>
      </c>
      <c r="J61" s="420" t="s">
        <v>1203</v>
      </c>
      <c r="K61" s="907">
        <v>2350</v>
      </c>
      <c r="L61" s="908">
        <f t="shared" si="4"/>
        <v>0</v>
      </c>
      <c r="M61" s="908">
        <f t="shared" si="5"/>
        <v>0</v>
      </c>
      <c r="N61" s="326">
        <v>3</v>
      </c>
      <c r="O61" s="326">
        <f>1/2.291</f>
        <v>0.43649061545176782</v>
      </c>
      <c r="P61" s="455">
        <f>4/1.205</f>
        <v>3.3195020746887964</v>
      </c>
      <c r="Q61" s="25"/>
      <c r="R61" s="25"/>
      <c r="S61" s="25"/>
      <c r="T61" s="25"/>
      <c r="U61" s="25"/>
    </row>
    <row r="62" spans="1:21">
      <c r="A62" s="395" t="s">
        <v>43</v>
      </c>
      <c r="B62" s="448">
        <v>0</v>
      </c>
      <c r="C62" s="307" t="s">
        <v>39</v>
      </c>
      <c r="D62" s="828" t="s">
        <v>37</v>
      </c>
      <c r="E62" s="307"/>
      <c r="F62" s="635">
        <v>0</v>
      </c>
      <c r="G62" s="419">
        <f t="shared" si="3"/>
        <v>0</v>
      </c>
      <c r="H62" s="35"/>
      <c r="I62" s="325">
        <v>0</v>
      </c>
      <c r="J62" s="420" t="s">
        <v>1203</v>
      </c>
      <c r="K62" s="907">
        <v>1674</v>
      </c>
      <c r="L62" s="908">
        <f t="shared" si="4"/>
        <v>0</v>
      </c>
      <c r="M62" s="908">
        <f t="shared" si="5"/>
        <v>0</v>
      </c>
      <c r="N62" s="326">
        <v>3</v>
      </c>
      <c r="O62" s="326">
        <f>1/2.291</f>
        <v>0.43649061545176782</v>
      </c>
      <c r="P62" s="455">
        <f>4/1.205</f>
        <v>3.3195020746887964</v>
      </c>
      <c r="Q62" s="25"/>
      <c r="R62" s="25"/>
      <c r="S62" s="25"/>
      <c r="T62" s="25"/>
      <c r="U62" s="25"/>
    </row>
    <row r="63" spans="1:21">
      <c r="A63" s="395" t="s">
        <v>1175</v>
      </c>
      <c r="B63" s="448">
        <v>0</v>
      </c>
      <c r="C63" s="307" t="s">
        <v>39</v>
      </c>
      <c r="D63" s="828" t="s">
        <v>37</v>
      </c>
      <c r="E63" s="307"/>
      <c r="F63" s="635">
        <v>0</v>
      </c>
      <c r="G63" s="419">
        <f t="shared" si="3"/>
        <v>0</v>
      </c>
      <c r="H63" s="35"/>
      <c r="I63" s="325">
        <v>0</v>
      </c>
      <c r="J63" s="420" t="s">
        <v>1203</v>
      </c>
      <c r="K63" s="907">
        <f>AVERAGE(K42:K62)</f>
        <v>5423.2</v>
      </c>
      <c r="L63" s="908">
        <f t="shared" si="4"/>
        <v>0</v>
      </c>
      <c r="M63" s="908">
        <f t="shared" si="5"/>
        <v>0</v>
      </c>
      <c r="N63" s="326">
        <v>3</v>
      </c>
      <c r="O63" s="326">
        <f>1/2.291</f>
        <v>0.43649061545176782</v>
      </c>
      <c r="P63" s="455">
        <f>4/1.205</f>
        <v>3.3195020746887964</v>
      </c>
      <c r="Q63" s="25"/>
      <c r="R63" s="25"/>
      <c r="S63" s="25"/>
      <c r="T63" s="25"/>
      <c r="U63" s="25"/>
    </row>
    <row r="64" spans="1:21">
      <c r="A64" s="395" t="s">
        <v>456</v>
      </c>
      <c r="B64" s="448">
        <v>0</v>
      </c>
      <c r="C64" s="307" t="s">
        <v>39</v>
      </c>
      <c r="D64" s="828" t="s">
        <v>37</v>
      </c>
      <c r="E64" s="307"/>
      <c r="F64" s="635">
        <v>0</v>
      </c>
      <c r="G64" s="419">
        <f t="shared" si="3"/>
        <v>0</v>
      </c>
      <c r="H64" s="35"/>
      <c r="I64" s="325">
        <v>0</v>
      </c>
      <c r="J64" s="420" t="s">
        <v>1203</v>
      </c>
      <c r="K64" s="907">
        <f>AVERAGE(K42:K43,K46,K48,K50,K52:K62)</f>
        <v>4053.25</v>
      </c>
      <c r="L64" s="908">
        <f t="shared" si="4"/>
        <v>0</v>
      </c>
      <c r="M64" s="908">
        <f t="shared" si="5"/>
        <v>0</v>
      </c>
      <c r="N64" s="329">
        <f>AVERAGE(N42:N43,N46,N48,N50,N52:N62)</f>
        <v>13.522500000000001</v>
      </c>
      <c r="O64" s="329">
        <f>AVERAGE(O42:O43,O46,O48,O50,O52:O62)</f>
        <v>2.1061067765168042</v>
      </c>
      <c r="P64" s="454">
        <f>AVERAGE(P42:P43,P46,P48,P50,P52:P62)</f>
        <v>6.8185529045643163</v>
      </c>
      <c r="Q64" s="25"/>
      <c r="R64" s="25"/>
      <c r="S64" s="25"/>
      <c r="T64" s="25"/>
      <c r="U64" s="25"/>
    </row>
    <row r="65" spans="1:21">
      <c r="A65" s="395" t="s">
        <v>457</v>
      </c>
      <c r="B65" s="448">
        <v>0</v>
      </c>
      <c r="C65" s="307" t="s">
        <v>39</v>
      </c>
      <c r="D65" s="828" t="s">
        <v>37</v>
      </c>
      <c r="E65" s="307"/>
      <c r="F65" s="635">
        <v>0</v>
      </c>
      <c r="G65" s="419">
        <f t="shared" si="3"/>
        <v>0</v>
      </c>
      <c r="H65" s="35"/>
      <c r="I65" s="325">
        <v>0</v>
      </c>
      <c r="J65" s="420" t="s">
        <v>1203</v>
      </c>
      <c r="K65" s="907">
        <f>AVERAGE(K42:K62)</f>
        <v>5423.2</v>
      </c>
      <c r="L65" s="908">
        <f t="shared" si="4"/>
        <v>0</v>
      </c>
      <c r="M65" s="908">
        <f t="shared" si="5"/>
        <v>0</v>
      </c>
      <c r="N65" s="326">
        <f>AVERAGE(N42:N43,N46,N48,N50,N52:N62)</f>
        <v>13.522500000000001</v>
      </c>
      <c r="O65" s="326">
        <f>AVERAGE(O42:O43,O46,O48,O50,O52:O62)</f>
        <v>2.1061067765168042</v>
      </c>
      <c r="P65" s="455">
        <f>AVERAGE(P42:P43,P46,P48,P50,P52:P62)</f>
        <v>6.8185529045643163</v>
      </c>
      <c r="Q65" s="25"/>
      <c r="R65" s="25"/>
      <c r="S65" s="25"/>
      <c r="T65" s="25"/>
      <c r="U65" s="25"/>
    </row>
    <row r="66" spans="1:21">
      <c r="A66" s="395" t="s">
        <v>44</v>
      </c>
      <c r="B66" s="448">
        <v>0</v>
      </c>
      <c r="C66" s="307" t="s">
        <v>39</v>
      </c>
      <c r="D66" s="828" t="s">
        <v>37</v>
      </c>
      <c r="E66" s="307"/>
      <c r="F66" s="635">
        <v>0</v>
      </c>
      <c r="G66" s="419">
        <f t="shared" si="3"/>
        <v>0</v>
      </c>
      <c r="H66" s="35"/>
      <c r="I66" s="325">
        <v>0</v>
      </c>
      <c r="J66" s="420" t="s">
        <v>1203</v>
      </c>
      <c r="K66" s="907">
        <v>756</v>
      </c>
      <c r="L66" s="908">
        <f t="shared" si="4"/>
        <v>0</v>
      </c>
      <c r="M66" s="908">
        <f t="shared" si="5"/>
        <v>0</v>
      </c>
      <c r="N66" s="329">
        <v>3</v>
      </c>
      <c r="O66" s="329">
        <f>1/2.291</f>
        <v>0.43649061545176782</v>
      </c>
      <c r="P66" s="454">
        <f>4/1.205</f>
        <v>3.3195020746887964</v>
      </c>
      <c r="Q66" s="25"/>
      <c r="R66" s="25"/>
      <c r="S66" s="25"/>
      <c r="T66" s="25"/>
      <c r="U66" s="25"/>
    </row>
    <row r="67" spans="1:21">
      <c r="A67" s="395"/>
      <c r="B67" s="428"/>
      <c r="C67" s="307"/>
      <c r="D67" s="428"/>
      <c r="E67" s="307"/>
      <c r="F67" s="428"/>
      <c r="G67" s="307"/>
      <c r="H67" s="307"/>
      <c r="I67" s="428"/>
      <c r="J67" s="418"/>
      <c r="K67" s="907"/>
      <c r="L67" s="908"/>
      <c r="M67" s="908"/>
      <c r="N67" s="329"/>
      <c r="O67" s="329"/>
      <c r="P67" s="454"/>
      <c r="Q67" s="25"/>
      <c r="R67" s="25"/>
      <c r="S67" s="25"/>
      <c r="T67" s="25"/>
      <c r="U67" s="25"/>
    </row>
    <row r="68" spans="1:21" customFormat="1" ht="15" customHeight="1">
      <c r="A68" s="397" t="s">
        <v>1394</v>
      </c>
      <c r="B68" s="421"/>
      <c r="C68" s="421"/>
      <c r="D68" s="422"/>
      <c r="E68" s="421"/>
      <c r="F68" s="421"/>
      <c r="G68" s="421"/>
      <c r="H68" s="423"/>
      <c r="I68" s="832"/>
      <c r="J68" s="420"/>
      <c r="K68" s="909"/>
      <c r="L68" s="910"/>
      <c r="M68" s="910"/>
      <c r="N68" s="459"/>
      <c r="O68" s="459"/>
      <c r="P68" s="460"/>
      <c r="Q68" s="245"/>
      <c r="R68" s="245"/>
      <c r="S68" s="245"/>
      <c r="T68" s="245"/>
    </row>
    <row r="69" spans="1:21" ht="15.75">
      <c r="A69" s="395" t="s">
        <v>497</v>
      </c>
      <c r="B69" s="448">
        <v>0</v>
      </c>
      <c r="C69" s="425" t="s">
        <v>39</v>
      </c>
      <c r="D69" s="828" t="s">
        <v>37</v>
      </c>
      <c r="E69" s="425"/>
      <c r="F69" s="635">
        <v>0</v>
      </c>
      <c r="G69" s="419">
        <f t="shared" ref="G69:G75" si="6">F69*B69</f>
        <v>0</v>
      </c>
      <c r="H69" s="35"/>
      <c r="I69" s="325">
        <v>0</v>
      </c>
      <c r="J69" s="420" t="s">
        <v>1203</v>
      </c>
      <c r="K69" s="907">
        <v>1966</v>
      </c>
      <c r="L69" s="908">
        <f t="shared" ref="L69:L75" si="7">K69*H69</f>
        <v>0</v>
      </c>
      <c r="M69" s="908">
        <f t="shared" ref="M69:M75" si="8">K69*I69</f>
        <v>0</v>
      </c>
      <c r="N69" s="326">
        <v>0.7</v>
      </c>
      <c r="O69" s="326">
        <f>0.3/2.291</f>
        <v>0.13094718463553034</v>
      </c>
      <c r="P69" s="455">
        <f>1.7/1.205</f>
        <v>1.4107883817427385</v>
      </c>
      <c r="Q69" s="245"/>
      <c r="R69" s="245"/>
      <c r="S69" s="245"/>
      <c r="T69" s="245"/>
      <c r="U69" s="25"/>
    </row>
    <row r="70" spans="1:21" ht="15.75">
      <c r="A70" s="395" t="s">
        <v>498</v>
      </c>
      <c r="B70" s="448">
        <v>0</v>
      </c>
      <c r="C70" s="425" t="s">
        <v>39</v>
      </c>
      <c r="D70" s="828" t="s">
        <v>37</v>
      </c>
      <c r="E70" s="425"/>
      <c r="F70" s="635">
        <v>0</v>
      </c>
      <c r="G70" s="419">
        <f t="shared" si="6"/>
        <v>0</v>
      </c>
      <c r="H70" s="35"/>
      <c r="I70" s="325">
        <v>0</v>
      </c>
      <c r="J70" s="420" t="s">
        <v>1203</v>
      </c>
      <c r="K70" s="907">
        <v>1966</v>
      </c>
      <c r="L70" s="908">
        <f t="shared" si="7"/>
        <v>0</v>
      </c>
      <c r="M70" s="908">
        <f t="shared" si="8"/>
        <v>0</v>
      </c>
      <c r="N70" s="326">
        <v>0.5</v>
      </c>
      <c r="O70" s="326">
        <f>0.5/2.291</f>
        <v>0.21824530772588391</v>
      </c>
      <c r="P70" s="455">
        <f>1.5/1.205</f>
        <v>1.2448132780082988</v>
      </c>
      <c r="Q70" s="245"/>
      <c r="R70" s="245"/>
      <c r="S70" s="245"/>
      <c r="T70" s="245"/>
      <c r="U70" s="25"/>
    </row>
    <row r="71" spans="1:21" ht="15.75">
      <c r="A71" s="395" t="s">
        <v>500</v>
      </c>
      <c r="B71" s="448">
        <v>0</v>
      </c>
      <c r="C71" s="425" t="s">
        <v>39</v>
      </c>
      <c r="D71" s="828" t="s">
        <v>37</v>
      </c>
      <c r="E71" s="425"/>
      <c r="F71" s="635">
        <v>0</v>
      </c>
      <c r="G71" s="419">
        <f t="shared" si="6"/>
        <v>0</v>
      </c>
      <c r="H71" s="35"/>
      <c r="I71" s="325">
        <v>0</v>
      </c>
      <c r="J71" s="420" t="s">
        <v>1203</v>
      </c>
      <c r="K71" s="907">
        <v>1643</v>
      </c>
      <c r="L71" s="908">
        <f t="shared" si="7"/>
        <v>0</v>
      </c>
      <c r="M71" s="908">
        <f t="shared" si="8"/>
        <v>0</v>
      </c>
      <c r="N71" s="326">
        <v>0.2</v>
      </c>
      <c r="O71" s="326">
        <f>0.2/2.291</f>
        <v>8.7298123090353563E-2</v>
      </c>
      <c r="P71" s="455">
        <f>1.2/1.205</f>
        <v>0.99585062240663891</v>
      </c>
      <c r="Q71" s="245"/>
      <c r="R71" s="245"/>
      <c r="S71" s="245"/>
      <c r="T71" s="245"/>
      <c r="U71" s="25"/>
    </row>
    <row r="72" spans="1:21" ht="15.75">
      <c r="A72" s="395" t="s">
        <v>619</v>
      </c>
      <c r="B72" s="448">
        <v>0</v>
      </c>
      <c r="C72" s="425" t="s">
        <v>39</v>
      </c>
      <c r="D72" s="828" t="s">
        <v>37</v>
      </c>
      <c r="E72" s="425"/>
      <c r="F72" s="635">
        <v>0</v>
      </c>
      <c r="G72" s="419">
        <f t="shared" si="6"/>
        <v>0</v>
      </c>
      <c r="H72" s="35"/>
      <c r="I72" s="325">
        <v>0</v>
      </c>
      <c r="J72" s="420" t="s">
        <v>1203</v>
      </c>
      <c r="K72" s="907">
        <v>2544</v>
      </c>
      <c r="L72" s="908">
        <f t="shared" si="7"/>
        <v>0</v>
      </c>
      <c r="M72" s="908">
        <f t="shared" si="8"/>
        <v>0</v>
      </c>
      <c r="N72" s="326">
        <v>0.8</v>
      </c>
      <c r="O72" s="326">
        <f>0.5/2.291</f>
        <v>0.21824530772588391</v>
      </c>
      <c r="P72" s="455">
        <f>2.2/1.205</f>
        <v>1.8257261410788381</v>
      </c>
      <c r="Q72" s="245"/>
      <c r="R72" s="245"/>
      <c r="S72" s="245"/>
      <c r="T72" s="245"/>
      <c r="U72" s="25"/>
    </row>
    <row r="73" spans="1:21" ht="15.75">
      <c r="A73" s="395" t="s">
        <v>620</v>
      </c>
      <c r="B73" s="448">
        <v>0</v>
      </c>
      <c r="C73" s="425" t="s">
        <v>39</v>
      </c>
      <c r="D73" s="828" t="s">
        <v>37</v>
      </c>
      <c r="E73" s="425"/>
      <c r="F73" s="635">
        <v>0</v>
      </c>
      <c r="G73" s="419">
        <f t="shared" si="6"/>
        <v>0</v>
      </c>
      <c r="H73" s="35"/>
      <c r="I73" s="325">
        <v>0</v>
      </c>
      <c r="J73" s="420" t="s">
        <v>1203</v>
      </c>
      <c r="K73" s="907">
        <v>2674</v>
      </c>
      <c r="L73" s="908">
        <f t="shared" si="7"/>
        <v>0</v>
      </c>
      <c r="M73" s="908">
        <f t="shared" si="8"/>
        <v>0</v>
      </c>
      <c r="N73" s="326">
        <v>0.8</v>
      </c>
      <c r="O73" s="326">
        <f>0.5/2.291</f>
        <v>0.21824530772588391</v>
      </c>
      <c r="P73" s="455">
        <f>2.9/1.205</f>
        <v>2.4066390041493775</v>
      </c>
      <c r="Q73" s="245"/>
      <c r="R73" s="245"/>
      <c r="S73" s="245"/>
      <c r="T73" s="245"/>
      <c r="U73" s="25"/>
    </row>
    <row r="74" spans="1:21" ht="15.75">
      <c r="A74" s="395" t="s">
        <v>1383</v>
      </c>
      <c r="B74" s="448">
        <v>0</v>
      </c>
      <c r="C74" s="425" t="s">
        <v>39</v>
      </c>
      <c r="D74" s="828" t="s">
        <v>37</v>
      </c>
      <c r="E74" s="425"/>
      <c r="F74" s="635">
        <v>0</v>
      </c>
      <c r="G74" s="419">
        <f t="shared" si="6"/>
        <v>0</v>
      </c>
      <c r="H74" s="35"/>
      <c r="I74" s="325">
        <v>0</v>
      </c>
      <c r="J74" s="420" t="s">
        <v>1203</v>
      </c>
      <c r="K74" s="907">
        <v>6700</v>
      </c>
      <c r="L74" s="908">
        <f t="shared" si="7"/>
        <v>0</v>
      </c>
      <c r="M74" s="908">
        <f t="shared" si="8"/>
        <v>0</v>
      </c>
      <c r="N74" s="326">
        <v>9.8000000000000007</v>
      </c>
      <c r="O74" s="326">
        <v>11.3</v>
      </c>
      <c r="P74" s="455">
        <v>10.3</v>
      </c>
      <c r="Q74" s="245"/>
      <c r="R74" s="245"/>
      <c r="S74" s="245"/>
      <c r="T74" s="245"/>
      <c r="U74" s="25"/>
    </row>
    <row r="75" spans="1:21" ht="15.75">
      <c r="A75" s="395" t="s">
        <v>621</v>
      </c>
      <c r="B75" s="448">
        <v>0</v>
      </c>
      <c r="C75" s="425" t="s">
        <v>39</v>
      </c>
      <c r="D75" s="828" t="s">
        <v>37</v>
      </c>
      <c r="E75" s="425"/>
      <c r="F75" s="635">
        <v>0</v>
      </c>
      <c r="G75" s="419">
        <f t="shared" si="6"/>
        <v>0</v>
      </c>
      <c r="H75" s="35"/>
      <c r="I75" s="325">
        <v>0</v>
      </c>
      <c r="J75" s="420" t="s">
        <v>1203</v>
      </c>
      <c r="K75" s="907">
        <f>AVERAGE(K71:K74)</f>
        <v>3390.25</v>
      </c>
      <c r="L75" s="908">
        <f t="shared" si="7"/>
        <v>0</v>
      </c>
      <c r="M75" s="908">
        <f t="shared" si="8"/>
        <v>0</v>
      </c>
      <c r="N75" s="326">
        <v>1</v>
      </c>
      <c r="O75" s="326">
        <f>0.5/2.291</f>
        <v>0.21824530772588391</v>
      </c>
      <c r="P75" s="455">
        <f>2.5/1.205</f>
        <v>2.0746887966804977</v>
      </c>
      <c r="Q75" s="245"/>
      <c r="R75" s="245"/>
      <c r="S75" s="245"/>
      <c r="T75" s="245"/>
      <c r="U75" s="25"/>
    </row>
    <row r="76" spans="1:21" customFormat="1" ht="15" customHeight="1">
      <c r="A76" s="426"/>
      <c r="B76" s="421"/>
      <c r="C76" s="421"/>
      <c r="D76" s="421"/>
      <c r="E76" s="421"/>
      <c r="F76" s="421"/>
      <c r="G76" s="421"/>
      <c r="H76" s="423"/>
      <c r="I76" s="832"/>
      <c r="J76" s="420"/>
      <c r="K76" s="909"/>
      <c r="L76" s="910"/>
      <c r="M76" s="910"/>
      <c r="N76" s="459"/>
      <c r="O76" s="459"/>
      <c r="P76" s="460"/>
      <c r="Q76" s="246"/>
      <c r="R76" s="246"/>
      <c r="S76" s="245"/>
      <c r="T76" s="245"/>
    </row>
    <row r="77" spans="1:21">
      <c r="A77" s="397" t="s">
        <v>1382</v>
      </c>
      <c r="B77" s="310"/>
      <c r="C77" s="44"/>
      <c r="D77" s="829"/>
      <c r="E77" s="44"/>
      <c r="F77" s="310"/>
      <c r="G77" s="44"/>
      <c r="H77" s="35"/>
      <c r="I77" s="310"/>
      <c r="J77" s="427"/>
      <c r="K77" s="907"/>
      <c r="L77" s="908"/>
      <c r="M77" s="908"/>
      <c r="N77" s="326"/>
      <c r="O77" s="326"/>
      <c r="P77" s="455"/>
      <c r="Q77" s="25"/>
      <c r="R77" s="25"/>
      <c r="S77" s="25"/>
      <c r="T77" s="25"/>
      <c r="U77" s="25"/>
    </row>
    <row r="78" spans="1:21">
      <c r="A78" s="395" t="s">
        <v>499</v>
      </c>
      <c r="B78" s="448">
        <v>0</v>
      </c>
      <c r="C78" s="307" t="s">
        <v>39</v>
      </c>
      <c r="D78" s="828" t="s">
        <v>37</v>
      </c>
      <c r="E78" s="307"/>
      <c r="F78" s="635">
        <v>0</v>
      </c>
      <c r="G78" s="419">
        <f>F78*B78</f>
        <v>0</v>
      </c>
      <c r="H78" s="35"/>
      <c r="I78" s="325">
        <v>0</v>
      </c>
      <c r="J78" s="420" t="s">
        <v>1203</v>
      </c>
      <c r="K78" s="907">
        <v>1328</v>
      </c>
      <c r="L78" s="908">
        <f>K78*H78</f>
        <v>0</v>
      </c>
      <c r="M78" s="908">
        <f>K78*I78</f>
        <v>0</v>
      </c>
      <c r="N78" s="326">
        <v>1.6</v>
      </c>
      <c r="O78" s="326">
        <f>0.7/2.291</f>
        <v>0.30554343081623742</v>
      </c>
      <c r="P78" s="455">
        <f>2.3/1.205</f>
        <v>1.9087136929460577</v>
      </c>
      <c r="Q78" s="25"/>
      <c r="R78" s="25"/>
      <c r="S78" s="25"/>
      <c r="T78" s="25"/>
      <c r="U78" s="25"/>
    </row>
    <row r="79" spans="1:21">
      <c r="A79" s="395" t="s">
        <v>501</v>
      </c>
      <c r="B79" s="448">
        <v>0</v>
      </c>
      <c r="C79" s="307" t="s">
        <v>39</v>
      </c>
      <c r="D79" s="828" t="s">
        <v>37</v>
      </c>
      <c r="E79" s="307"/>
      <c r="F79" s="635">
        <v>0</v>
      </c>
      <c r="G79" s="419">
        <f>F79*B79</f>
        <v>0</v>
      </c>
      <c r="H79" s="35"/>
      <c r="I79" s="325">
        <v>0</v>
      </c>
      <c r="J79" s="420" t="s">
        <v>1203</v>
      </c>
      <c r="K79" s="907">
        <v>3306</v>
      </c>
      <c r="L79" s="908">
        <f>K79*H79</f>
        <v>0</v>
      </c>
      <c r="M79" s="908">
        <f>K79*I79</f>
        <v>0</v>
      </c>
      <c r="N79" s="326">
        <v>1.4</v>
      </c>
      <c r="O79" s="326">
        <f>0.7/2.291</f>
        <v>0.30554343081623742</v>
      </c>
      <c r="P79" s="455">
        <f>2.7/1.205</f>
        <v>2.2406639004149378</v>
      </c>
      <c r="Q79" s="25"/>
      <c r="R79" s="25"/>
      <c r="S79" s="25"/>
      <c r="T79" s="25"/>
      <c r="U79" s="25"/>
    </row>
    <row r="80" spans="1:21">
      <c r="A80" s="395" t="s">
        <v>502</v>
      </c>
      <c r="B80" s="448">
        <v>0</v>
      </c>
      <c r="C80" s="307" t="s">
        <v>39</v>
      </c>
      <c r="D80" s="828" t="s">
        <v>37</v>
      </c>
      <c r="E80" s="307"/>
      <c r="F80" s="635">
        <v>0</v>
      </c>
      <c r="G80" s="419">
        <f>F80*B80</f>
        <v>0</v>
      </c>
      <c r="H80" s="35"/>
      <c r="I80" s="325">
        <v>0</v>
      </c>
      <c r="J80" s="420" t="s">
        <v>1203</v>
      </c>
      <c r="K80" s="907">
        <v>1046</v>
      </c>
      <c r="L80" s="908">
        <f>K80*H80</f>
        <v>0</v>
      </c>
      <c r="M80" s="908">
        <f>K80*I80</f>
        <v>0</v>
      </c>
      <c r="N80" s="326">
        <v>1.5</v>
      </c>
      <c r="O80" s="326">
        <f>0.9/2.291</f>
        <v>0.39284155390659103</v>
      </c>
      <c r="P80" s="455">
        <f>4.5/1.205</f>
        <v>3.7344398340248959</v>
      </c>
      <c r="Q80" s="25"/>
      <c r="R80" s="25"/>
      <c r="S80" s="25"/>
      <c r="T80" s="25"/>
      <c r="U80" s="25"/>
    </row>
    <row r="81" spans="1:21">
      <c r="A81" s="395" t="s">
        <v>503</v>
      </c>
      <c r="B81" s="448">
        <v>0</v>
      </c>
      <c r="C81" s="307" t="s">
        <v>39</v>
      </c>
      <c r="D81" s="828" t="s">
        <v>37</v>
      </c>
      <c r="E81" s="307"/>
      <c r="F81" s="635">
        <v>0</v>
      </c>
      <c r="G81" s="419">
        <f>F81*B81</f>
        <v>0</v>
      </c>
      <c r="H81" s="35"/>
      <c r="I81" s="325">
        <v>0</v>
      </c>
      <c r="J81" s="420" t="s">
        <v>1203</v>
      </c>
      <c r="K81" s="907">
        <v>1841</v>
      </c>
      <c r="L81" s="908">
        <f>K81*H81</f>
        <v>0</v>
      </c>
      <c r="M81" s="908">
        <f>K81*I81</f>
        <v>0</v>
      </c>
      <c r="N81" s="326">
        <v>1.8</v>
      </c>
      <c r="O81" s="326">
        <f>0.7/2.291</f>
        <v>0.30554343081623742</v>
      </c>
      <c r="P81" s="455">
        <f>2.5/1.205</f>
        <v>2.0746887966804977</v>
      </c>
      <c r="Q81" s="25"/>
      <c r="R81" s="25"/>
      <c r="S81" s="25"/>
      <c r="T81" s="25"/>
      <c r="U81" s="25"/>
    </row>
    <row r="82" spans="1:21">
      <c r="A82" s="395" t="s">
        <v>621</v>
      </c>
      <c r="B82" s="448">
        <v>0</v>
      </c>
      <c r="C82" s="307" t="s">
        <v>39</v>
      </c>
      <c r="D82" s="828" t="s">
        <v>37</v>
      </c>
      <c r="E82" s="307"/>
      <c r="F82" s="635">
        <v>0</v>
      </c>
      <c r="G82" s="419">
        <f>F82*B82</f>
        <v>0</v>
      </c>
      <c r="H82" s="35"/>
      <c r="I82" s="325">
        <v>0</v>
      </c>
      <c r="J82" s="420" t="s">
        <v>1203</v>
      </c>
      <c r="K82" s="907">
        <f>AVERAGE(K78:K81)</f>
        <v>1880.25</v>
      </c>
      <c r="L82" s="908">
        <f>K82*H82</f>
        <v>0</v>
      </c>
      <c r="M82" s="908">
        <f>K82*I82</f>
        <v>0</v>
      </c>
      <c r="N82" s="326">
        <v>1</v>
      </c>
      <c r="O82" s="326">
        <f>0.5/2.291</f>
        <v>0.21824530772588391</v>
      </c>
      <c r="P82" s="455">
        <f>2.5/1.205</f>
        <v>2.0746887966804977</v>
      </c>
      <c r="Q82" s="25"/>
      <c r="R82" s="25"/>
      <c r="S82" s="25"/>
      <c r="T82" s="25"/>
      <c r="U82" s="25"/>
    </row>
    <row r="83" spans="1:21">
      <c r="A83" s="395"/>
      <c r="B83" s="428"/>
      <c r="C83" s="307"/>
      <c r="D83" s="830"/>
      <c r="E83" s="307"/>
      <c r="F83" s="428"/>
      <c r="G83" s="419"/>
      <c r="H83" s="307"/>
      <c r="I83" s="428"/>
      <c r="J83" s="418"/>
      <c r="K83" s="907"/>
      <c r="L83" s="908"/>
      <c r="M83" s="908"/>
      <c r="N83" s="326"/>
      <c r="O83" s="326"/>
      <c r="P83" s="455"/>
      <c r="Q83" s="25"/>
      <c r="R83" s="25"/>
      <c r="S83" s="25"/>
      <c r="T83" s="25"/>
      <c r="U83" s="25"/>
    </row>
    <row r="84" spans="1:21">
      <c r="A84" s="397" t="s">
        <v>637</v>
      </c>
      <c r="B84" s="428"/>
      <c r="C84" s="307"/>
      <c r="D84" s="830"/>
      <c r="E84" s="307"/>
      <c r="F84" s="428"/>
      <c r="G84" s="419"/>
      <c r="H84" s="307"/>
      <c r="I84" s="428"/>
      <c r="J84" s="420"/>
      <c r="K84" s="907"/>
      <c r="L84" s="908"/>
      <c r="M84" s="908"/>
      <c r="N84" s="326"/>
      <c r="O84" s="326"/>
      <c r="P84" s="455"/>
      <c r="Q84" s="25"/>
      <c r="R84" s="25"/>
      <c r="S84" s="25"/>
      <c r="T84" s="25"/>
      <c r="U84" s="25"/>
    </row>
    <row r="85" spans="1:21">
      <c r="A85" s="395" t="s">
        <v>603</v>
      </c>
      <c r="B85" s="448">
        <v>0</v>
      </c>
      <c r="C85" s="307" t="s">
        <v>39</v>
      </c>
      <c r="D85" s="828" t="s">
        <v>37</v>
      </c>
      <c r="E85" s="307"/>
      <c r="F85" s="635">
        <v>0</v>
      </c>
      <c r="G85" s="419">
        <f>F85*B85</f>
        <v>0</v>
      </c>
      <c r="H85" s="307"/>
      <c r="I85" s="331">
        <v>0</v>
      </c>
      <c r="J85" s="420" t="s">
        <v>1203</v>
      </c>
      <c r="K85" s="917">
        <v>13000</v>
      </c>
      <c r="L85" s="908">
        <f>K85*H85</f>
        <v>0</v>
      </c>
      <c r="M85" s="908">
        <f>K85*I85</f>
        <v>0</v>
      </c>
      <c r="N85" s="329">
        <f>0.75*6</f>
        <v>4.5</v>
      </c>
      <c r="O85" s="329">
        <f>0.75*1/2.291</f>
        <v>0.32736796158882586</v>
      </c>
      <c r="P85" s="454">
        <f>8.5*0.75/1.205</f>
        <v>5.2904564315352696</v>
      </c>
      <c r="Q85" s="25"/>
      <c r="R85" s="25"/>
      <c r="S85" s="25"/>
      <c r="T85" s="25"/>
      <c r="U85" s="25"/>
    </row>
    <row r="86" spans="1:21" ht="15" customHeight="1">
      <c r="A86" s="395" t="s">
        <v>1386</v>
      </c>
      <c r="B86" s="448">
        <v>0</v>
      </c>
      <c r="C86" s="307" t="s">
        <v>39</v>
      </c>
      <c r="D86" s="828" t="s">
        <v>37</v>
      </c>
      <c r="E86" s="307"/>
      <c r="F86" s="635">
        <v>0</v>
      </c>
      <c r="G86" s="419">
        <f>F86*B86</f>
        <v>0</v>
      </c>
      <c r="H86" s="428"/>
      <c r="I86" s="331">
        <v>0</v>
      </c>
      <c r="J86" s="420" t="s">
        <v>1203</v>
      </c>
      <c r="K86" s="907">
        <v>12500</v>
      </c>
      <c r="L86" s="908">
        <f>K86*H86</f>
        <v>0</v>
      </c>
      <c r="M86" s="908">
        <f>K86*I86</f>
        <v>0</v>
      </c>
      <c r="N86" s="331">
        <v>0</v>
      </c>
      <c r="O86" s="331">
        <v>0</v>
      </c>
      <c r="P86" s="462">
        <v>0</v>
      </c>
      <c r="Q86" s="25"/>
      <c r="R86" s="25"/>
      <c r="S86" s="25"/>
      <c r="T86" s="25"/>
      <c r="U86" s="25"/>
    </row>
    <row r="87" spans="1:21">
      <c r="A87" s="395"/>
      <c r="B87" s="428"/>
      <c r="C87" s="307"/>
      <c r="D87" s="830"/>
      <c r="E87" s="307"/>
      <c r="F87" s="428"/>
      <c r="G87" s="419"/>
      <c r="H87" s="307"/>
      <c r="I87" s="428"/>
      <c r="J87" s="420"/>
      <c r="K87" s="907"/>
      <c r="L87" s="908"/>
      <c r="M87" s="908"/>
      <c r="N87" s="833"/>
      <c r="O87" s="833"/>
      <c r="P87" s="834"/>
      <c r="Q87" s="25"/>
      <c r="R87" s="25"/>
      <c r="S87" s="25"/>
      <c r="T87" s="25"/>
      <c r="U87" s="25"/>
    </row>
    <row r="88" spans="1:21">
      <c r="A88" s="397" t="s">
        <v>1154</v>
      </c>
      <c r="B88" s="428"/>
      <c r="C88" s="307"/>
      <c r="D88" s="830"/>
      <c r="E88" s="307"/>
      <c r="F88" s="428"/>
      <c r="G88" s="419"/>
      <c r="H88" s="307"/>
      <c r="I88" s="428"/>
      <c r="J88" s="420"/>
      <c r="K88" s="907"/>
      <c r="L88" s="908"/>
      <c r="M88" s="908"/>
      <c r="N88" s="833"/>
      <c r="O88" s="833"/>
      <c r="P88" s="834"/>
      <c r="Q88" s="25"/>
      <c r="R88" s="25"/>
      <c r="S88" s="25"/>
      <c r="T88" s="25"/>
      <c r="U88" s="25"/>
    </row>
    <row r="89" spans="1:21">
      <c r="A89" s="395" t="s">
        <v>1156</v>
      </c>
      <c r="B89" s="448">
        <v>0</v>
      </c>
      <c r="C89" s="307" t="s">
        <v>39</v>
      </c>
      <c r="D89" s="828" t="s">
        <v>37</v>
      </c>
      <c r="E89" s="307"/>
      <c r="F89" s="635">
        <v>0</v>
      </c>
      <c r="G89" s="419">
        <f>F89*B89</f>
        <v>0</v>
      </c>
      <c r="H89" s="307"/>
      <c r="I89" s="331">
        <v>0</v>
      </c>
      <c r="J89" s="420" t="s">
        <v>1203</v>
      </c>
      <c r="K89" s="911">
        <v>0</v>
      </c>
      <c r="L89" s="908">
        <f>K89*H89</f>
        <v>0</v>
      </c>
      <c r="M89" s="908">
        <f>K89*I89</f>
        <v>0</v>
      </c>
      <c r="N89" s="331">
        <v>0</v>
      </c>
      <c r="O89" s="331">
        <v>0</v>
      </c>
      <c r="P89" s="462">
        <v>0</v>
      </c>
      <c r="Q89" s="25"/>
      <c r="R89" s="25"/>
      <c r="S89" s="25"/>
      <c r="T89" s="25"/>
      <c r="U89" s="25"/>
    </row>
    <row r="90" spans="1:21">
      <c r="A90" s="395" t="s">
        <v>1157</v>
      </c>
      <c r="B90" s="448">
        <v>0</v>
      </c>
      <c r="C90" s="307" t="s">
        <v>39</v>
      </c>
      <c r="D90" s="828" t="s">
        <v>37</v>
      </c>
      <c r="E90" s="307"/>
      <c r="F90" s="635">
        <v>0</v>
      </c>
      <c r="G90" s="419">
        <f>F90*B90</f>
        <v>0</v>
      </c>
      <c r="H90" s="307"/>
      <c r="I90" s="331">
        <v>0</v>
      </c>
      <c r="J90" s="420" t="s">
        <v>1203</v>
      </c>
      <c r="K90" s="911">
        <v>0</v>
      </c>
      <c r="L90" s="908">
        <f>K90*H90</f>
        <v>0</v>
      </c>
      <c r="M90" s="908">
        <f>K90*I90</f>
        <v>0</v>
      </c>
      <c r="N90" s="331">
        <v>0</v>
      </c>
      <c r="O90" s="331">
        <v>0</v>
      </c>
      <c r="P90" s="462">
        <v>0</v>
      </c>
      <c r="Q90" s="25"/>
      <c r="R90" s="25"/>
      <c r="S90" s="25"/>
      <c r="T90" s="25"/>
      <c r="U90" s="25"/>
    </row>
    <row r="91" spans="1:21">
      <c r="A91" s="395" t="s">
        <v>1158</v>
      </c>
      <c r="B91" s="448">
        <v>0</v>
      </c>
      <c r="C91" s="307" t="s">
        <v>39</v>
      </c>
      <c r="D91" s="828" t="s">
        <v>37</v>
      </c>
      <c r="E91" s="307"/>
      <c r="F91" s="635">
        <v>0</v>
      </c>
      <c r="G91" s="419">
        <f>F91*B91</f>
        <v>0</v>
      </c>
      <c r="H91" s="307"/>
      <c r="I91" s="331">
        <v>0</v>
      </c>
      <c r="J91" s="420" t="s">
        <v>1203</v>
      </c>
      <c r="K91" s="911">
        <v>0</v>
      </c>
      <c r="L91" s="908">
        <f>K91*H91</f>
        <v>0</v>
      </c>
      <c r="M91" s="908">
        <f>K91*I91</f>
        <v>0</v>
      </c>
      <c r="N91" s="331">
        <v>0</v>
      </c>
      <c r="O91" s="331">
        <v>0</v>
      </c>
      <c r="P91" s="462">
        <v>0</v>
      </c>
      <c r="Q91" s="25"/>
      <c r="R91" s="25"/>
      <c r="S91" s="25"/>
      <c r="T91" s="25"/>
      <c r="U91" s="25"/>
    </row>
    <row r="92" spans="1:21">
      <c r="A92" s="395"/>
      <c r="B92" s="428"/>
      <c r="C92" s="307"/>
      <c r="D92" s="830"/>
      <c r="E92" s="307"/>
      <c r="F92" s="307"/>
      <c r="G92" s="307"/>
      <c r="H92" s="307"/>
      <c r="I92" s="307"/>
      <c r="J92" s="420"/>
      <c r="K92" s="453"/>
      <c r="L92" s="329"/>
      <c r="M92" s="329"/>
      <c r="N92" s="326"/>
      <c r="O92" s="326"/>
      <c r="P92" s="455"/>
      <c r="Q92" s="25"/>
      <c r="R92" s="25"/>
      <c r="S92" s="25"/>
      <c r="T92" s="25"/>
      <c r="U92" s="25"/>
    </row>
    <row r="93" spans="1:21">
      <c r="A93" s="397" t="s">
        <v>636</v>
      </c>
      <c r="B93" s="429"/>
      <c r="C93" s="307"/>
      <c r="D93" s="830"/>
      <c r="E93" s="307"/>
      <c r="F93" s="429"/>
      <c r="G93" s="419"/>
      <c r="H93" s="428"/>
      <c r="I93" s="428"/>
      <c r="J93" s="420"/>
      <c r="K93" s="453"/>
      <c r="L93" s="329"/>
      <c r="M93" s="329"/>
      <c r="N93" s="326"/>
      <c r="O93" s="326"/>
      <c r="P93" s="455"/>
      <c r="Q93" s="25"/>
      <c r="R93" s="25"/>
      <c r="S93" s="25"/>
      <c r="T93" s="25"/>
      <c r="U93" s="25"/>
    </row>
    <row r="94" spans="1:21">
      <c r="A94" s="395" t="s">
        <v>217</v>
      </c>
      <c r="B94" s="448">
        <v>0</v>
      </c>
      <c r="C94" s="307" t="s">
        <v>39</v>
      </c>
      <c r="D94" s="828" t="s">
        <v>37</v>
      </c>
      <c r="E94" s="307"/>
      <c r="F94" s="429"/>
      <c r="G94" s="419"/>
      <c r="H94" s="430"/>
      <c r="I94" s="430"/>
      <c r="J94" s="420"/>
      <c r="K94" s="453"/>
      <c r="L94" s="329"/>
      <c r="M94" s="329"/>
      <c r="N94" s="326"/>
      <c r="O94" s="326"/>
      <c r="P94" s="455"/>
      <c r="Q94" s="25"/>
      <c r="R94" s="25"/>
      <c r="S94" s="25"/>
      <c r="T94" s="25"/>
      <c r="U94" s="25"/>
    </row>
    <row r="95" spans="1:21" ht="14.45" customHeight="1">
      <c r="A95" s="395" t="s">
        <v>1153</v>
      </c>
      <c r="B95" s="448">
        <v>0</v>
      </c>
      <c r="C95" s="307" t="s">
        <v>39</v>
      </c>
      <c r="D95" s="828" t="s">
        <v>37</v>
      </c>
      <c r="E95" s="307"/>
      <c r="F95" s="429"/>
      <c r="G95" s="419"/>
      <c r="H95" s="391"/>
      <c r="I95" s="391"/>
      <c r="J95" s="420"/>
      <c r="K95" s="453"/>
      <c r="L95" s="329"/>
      <c r="M95" s="329"/>
      <c r="N95" s="326"/>
      <c r="O95" s="326"/>
      <c r="P95" s="455"/>
      <c r="Q95" s="25"/>
      <c r="R95" s="25"/>
      <c r="S95" s="25"/>
      <c r="T95" s="25"/>
      <c r="U95" s="25"/>
    </row>
    <row r="96" spans="1:21">
      <c r="A96" s="395" t="s">
        <v>509</v>
      </c>
      <c r="B96" s="448">
        <v>0</v>
      </c>
      <c r="C96" s="307" t="s">
        <v>39</v>
      </c>
      <c r="D96" s="828" t="s">
        <v>37</v>
      </c>
      <c r="E96" s="307"/>
      <c r="F96" s="429"/>
      <c r="G96" s="419"/>
      <c r="H96" s="1047"/>
      <c r="I96" s="1047"/>
      <c r="J96" s="420"/>
      <c r="K96" s="453"/>
      <c r="L96" s="329"/>
      <c r="M96" s="329"/>
      <c r="N96" s="326"/>
      <c r="O96" s="326"/>
      <c r="P96" s="455"/>
      <c r="Q96" s="25"/>
      <c r="R96" s="25"/>
      <c r="S96" s="25"/>
      <c r="T96" s="25"/>
      <c r="U96" s="25"/>
    </row>
    <row r="97" spans="1:37">
      <c r="A97" s="395" t="s">
        <v>508</v>
      </c>
      <c r="B97" s="448">
        <v>0</v>
      </c>
      <c r="C97" s="307" t="s">
        <v>39</v>
      </c>
      <c r="D97" s="828" t="s">
        <v>37</v>
      </c>
      <c r="E97" s="307"/>
      <c r="F97" s="429"/>
      <c r="G97" s="419"/>
      <c r="H97" s="310"/>
      <c r="I97" s="310"/>
      <c r="J97" s="420"/>
      <c r="K97" s="453"/>
      <c r="L97" s="329"/>
      <c r="M97" s="329"/>
      <c r="N97" s="326"/>
      <c r="O97" s="326"/>
      <c r="P97" s="455"/>
      <c r="Q97" s="25"/>
      <c r="R97" s="25"/>
      <c r="S97" s="25"/>
      <c r="T97" s="25"/>
      <c r="U97" s="25"/>
    </row>
    <row r="98" spans="1:37">
      <c r="A98" s="395" t="s">
        <v>47</v>
      </c>
      <c r="B98" s="448">
        <v>0</v>
      </c>
      <c r="C98" s="307" t="s">
        <v>39</v>
      </c>
      <c r="D98" s="828" t="s">
        <v>37</v>
      </c>
      <c r="E98" s="307"/>
      <c r="F98" s="429"/>
      <c r="G98" s="419"/>
      <c r="H98" s="428"/>
      <c r="I98" s="428"/>
      <c r="J98" s="420"/>
      <c r="K98" s="453"/>
      <c r="L98" s="329"/>
      <c r="M98" s="329"/>
      <c r="N98" s="326"/>
      <c r="O98" s="326"/>
      <c r="P98" s="455"/>
      <c r="Q98" s="25"/>
      <c r="R98" s="25"/>
      <c r="S98" s="25"/>
      <c r="T98" s="25"/>
      <c r="U98" s="25"/>
    </row>
    <row r="99" spans="1:37">
      <c r="A99" s="395" t="s">
        <v>1151</v>
      </c>
      <c r="B99" s="448">
        <v>0</v>
      </c>
      <c r="C99" s="307" t="s">
        <v>39</v>
      </c>
      <c r="D99" s="828" t="s">
        <v>37</v>
      </c>
      <c r="E99" s="307"/>
      <c r="F99" s="429"/>
      <c r="G99" s="419"/>
      <c r="H99" s="428"/>
      <c r="I99" s="428"/>
      <c r="J99" s="420"/>
      <c r="K99" s="453"/>
      <c r="L99" s="329"/>
      <c r="M99" s="329"/>
      <c r="N99" s="326"/>
      <c r="O99" s="326"/>
      <c r="P99" s="455"/>
      <c r="Q99" s="25"/>
      <c r="R99" s="25"/>
      <c r="S99" s="25"/>
      <c r="T99" s="25"/>
      <c r="U99" s="25"/>
    </row>
    <row r="100" spans="1:37">
      <c r="A100" s="395"/>
      <c r="B100" s="428"/>
      <c r="C100" s="307"/>
      <c r="D100" s="830"/>
      <c r="E100" s="307"/>
      <c r="F100" s="307"/>
      <c r="G100" s="307"/>
      <c r="H100" s="428"/>
      <c r="I100" s="428"/>
      <c r="J100" s="420"/>
      <c r="K100" s="453"/>
      <c r="L100" s="329"/>
      <c r="M100" s="329"/>
      <c r="N100" s="326"/>
      <c r="O100" s="326"/>
      <c r="P100" s="455"/>
      <c r="Q100" s="25"/>
      <c r="R100" s="25"/>
      <c r="S100" s="25"/>
      <c r="T100" s="25"/>
      <c r="U100" s="25"/>
    </row>
    <row r="101" spans="1:37">
      <c r="A101" s="395" t="s">
        <v>1285</v>
      </c>
      <c r="B101" s="448">
        <v>0</v>
      </c>
      <c r="C101" s="307" t="s">
        <v>39</v>
      </c>
      <c r="D101" s="828" t="s">
        <v>37</v>
      </c>
      <c r="E101" s="307"/>
      <c r="F101" s="429"/>
      <c r="G101" s="431"/>
      <c r="H101" s="428"/>
      <c r="I101" s="428"/>
      <c r="J101" s="420"/>
      <c r="K101" s="453"/>
      <c r="L101" s="329"/>
      <c r="M101" s="329"/>
      <c r="N101" s="326"/>
      <c r="O101" s="326"/>
      <c r="P101" s="455"/>
      <c r="Q101" s="25"/>
      <c r="R101" s="25"/>
      <c r="S101" s="25"/>
      <c r="T101" s="25"/>
      <c r="U101" s="25"/>
    </row>
    <row r="102" spans="1:37">
      <c r="A102" s="395" t="s">
        <v>1286</v>
      </c>
      <c r="B102" s="448">
        <v>0</v>
      </c>
      <c r="C102" s="307" t="s">
        <v>39</v>
      </c>
      <c r="D102" s="828" t="s">
        <v>37</v>
      </c>
      <c r="E102" s="307"/>
      <c r="F102" s="429"/>
      <c r="G102" s="431"/>
      <c r="H102" s="428"/>
      <c r="I102" s="428"/>
      <c r="J102" s="420"/>
      <c r="K102" s="453"/>
      <c r="L102" s="329"/>
      <c r="M102" s="329"/>
      <c r="N102" s="326"/>
      <c r="O102" s="326"/>
      <c r="P102" s="455"/>
      <c r="Q102" s="25"/>
      <c r="R102" s="25"/>
      <c r="S102" s="25"/>
      <c r="T102" s="25"/>
      <c r="U102" s="25"/>
    </row>
    <row r="103" spans="1:37">
      <c r="A103" s="395" t="s">
        <v>1287</v>
      </c>
      <c r="B103" s="448">
        <v>0</v>
      </c>
      <c r="C103" s="307" t="s">
        <v>39</v>
      </c>
      <c r="D103" s="828" t="s">
        <v>37</v>
      </c>
      <c r="E103" s="307"/>
      <c r="F103" s="429"/>
      <c r="G103" s="431"/>
      <c r="H103" s="428"/>
      <c r="I103" s="428"/>
      <c r="J103" s="420"/>
      <c r="K103" s="453"/>
      <c r="L103" s="329"/>
      <c r="M103" s="329"/>
      <c r="N103" s="326"/>
      <c r="O103" s="326"/>
      <c r="P103" s="455"/>
      <c r="Q103" s="25"/>
      <c r="R103" s="25"/>
      <c r="S103" s="25"/>
      <c r="T103" s="25"/>
      <c r="U103" s="25"/>
    </row>
    <row r="104" spans="1:37">
      <c r="A104" s="395" t="s">
        <v>1288</v>
      </c>
      <c r="B104" s="448">
        <v>0</v>
      </c>
      <c r="C104" s="307" t="s">
        <v>39</v>
      </c>
      <c r="D104" s="828" t="s">
        <v>37</v>
      </c>
      <c r="E104" s="307"/>
      <c r="F104" s="429"/>
      <c r="G104" s="431"/>
      <c r="H104" s="428"/>
      <c r="I104" s="428"/>
      <c r="J104" s="420"/>
      <c r="K104" s="453"/>
      <c r="L104" s="329"/>
      <c r="M104" s="329"/>
      <c r="N104" s="326"/>
      <c r="O104" s="326"/>
      <c r="P104" s="455"/>
      <c r="Q104" s="25"/>
      <c r="R104" s="25"/>
      <c r="S104" s="25"/>
      <c r="T104" s="25"/>
      <c r="U104" s="25"/>
    </row>
    <row r="105" spans="1:37">
      <c r="A105" s="395" t="s">
        <v>1289</v>
      </c>
      <c r="B105" s="448">
        <v>0</v>
      </c>
      <c r="C105" s="307" t="s">
        <v>39</v>
      </c>
      <c r="D105" s="828" t="s">
        <v>37</v>
      </c>
      <c r="E105" s="307"/>
      <c r="F105" s="429"/>
      <c r="G105" s="431"/>
      <c r="H105" s="428"/>
      <c r="I105" s="428"/>
      <c r="J105" s="420"/>
      <c r="K105" s="453"/>
      <c r="L105" s="329"/>
      <c r="M105" s="329"/>
      <c r="N105" s="326"/>
      <c r="O105" s="326"/>
      <c r="P105" s="455"/>
      <c r="Q105" s="25"/>
      <c r="R105" s="25"/>
      <c r="S105" s="25"/>
      <c r="T105" s="25"/>
      <c r="U105" s="25"/>
    </row>
    <row r="106" spans="1:37">
      <c r="A106" s="395" t="s">
        <v>1290</v>
      </c>
      <c r="B106" s="448">
        <v>0</v>
      </c>
      <c r="C106" s="307" t="s">
        <v>39</v>
      </c>
      <c r="D106" s="828" t="s">
        <v>37</v>
      </c>
      <c r="E106" s="307"/>
      <c r="F106" s="429"/>
      <c r="G106" s="431"/>
      <c r="H106" s="428"/>
      <c r="I106" s="428"/>
      <c r="J106" s="420"/>
      <c r="K106" s="453"/>
      <c r="L106" s="329"/>
      <c r="M106" s="329"/>
      <c r="N106" s="326"/>
      <c r="O106" s="326"/>
      <c r="P106" s="455"/>
      <c r="Q106" s="25"/>
      <c r="R106" s="25"/>
      <c r="S106" s="25"/>
      <c r="T106" s="25"/>
      <c r="U106" s="25"/>
    </row>
    <row r="107" spans="1:37">
      <c r="A107" s="395" t="s">
        <v>1291</v>
      </c>
      <c r="B107" s="448">
        <v>0</v>
      </c>
      <c r="C107" s="307" t="s">
        <v>39</v>
      </c>
      <c r="D107" s="828" t="s">
        <v>37</v>
      </c>
      <c r="E107" s="307"/>
      <c r="F107" s="429"/>
      <c r="G107" s="431"/>
      <c r="H107" s="428"/>
      <c r="I107" s="428"/>
      <c r="J107" s="420"/>
      <c r="K107" s="453"/>
      <c r="L107" s="329"/>
      <c r="M107" s="329"/>
      <c r="N107" s="326"/>
      <c r="O107" s="326"/>
      <c r="P107" s="455"/>
      <c r="Q107" s="25"/>
      <c r="R107" s="25"/>
      <c r="S107" s="25"/>
      <c r="T107" s="25"/>
      <c r="U107" s="25"/>
    </row>
    <row r="108" spans="1:37">
      <c r="A108" s="395" t="s">
        <v>1292</v>
      </c>
      <c r="B108" s="448">
        <v>0</v>
      </c>
      <c r="C108" s="307" t="s">
        <v>39</v>
      </c>
      <c r="D108" s="828" t="s">
        <v>37</v>
      </c>
      <c r="E108" s="307"/>
      <c r="F108" s="429"/>
      <c r="G108" s="431"/>
      <c r="H108" s="428"/>
      <c r="I108" s="428"/>
      <c r="J108" s="420"/>
      <c r="K108" s="453"/>
      <c r="L108" s="329"/>
      <c r="M108" s="329"/>
      <c r="N108" s="326"/>
      <c r="O108" s="326"/>
      <c r="P108" s="455"/>
      <c r="Q108" s="25"/>
      <c r="R108" s="25"/>
      <c r="S108" s="25"/>
      <c r="T108" s="25"/>
      <c r="U108" s="25"/>
    </row>
    <row r="109" spans="1:37">
      <c r="A109" s="432" t="s">
        <v>602</v>
      </c>
      <c r="B109" s="448">
        <v>0</v>
      </c>
      <c r="C109" s="307" t="s">
        <v>39</v>
      </c>
      <c r="D109" s="828" t="s">
        <v>37</v>
      </c>
      <c r="E109" s="307"/>
      <c r="F109" s="429"/>
      <c r="G109" s="431"/>
      <c r="H109" s="428"/>
      <c r="I109" s="428"/>
      <c r="J109" s="433"/>
      <c r="K109" s="461"/>
      <c r="L109" s="463"/>
      <c r="M109" s="463"/>
      <c r="N109" s="463"/>
      <c r="O109" s="463"/>
      <c r="P109" s="464"/>
      <c r="Q109" s="25"/>
      <c r="R109" s="25"/>
      <c r="S109" s="25"/>
      <c r="T109" s="25"/>
      <c r="U109" s="25"/>
    </row>
    <row r="110" spans="1:37">
      <c r="A110" s="432" t="s">
        <v>1559</v>
      </c>
      <c r="B110" s="448">
        <v>0</v>
      </c>
      <c r="C110" s="307" t="s">
        <v>39</v>
      </c>
      <c r="D110" s="828" t="s">
        <v>37</v>
      </c>
      <c r="E110" s="307"/>
      <c r="F110" s="429"/>
      <c r="G110" s="431"/>
      <c r="H110" s="428"/>
      <c r="I110" s="428"/>
      <c r="J110" s="433"/>
      <c r="K110" s="461"/>
      <c r="L110" s="463"/>
      <c r="M110" s="463"/>
      <c r="N110" s="463"/>
      <c r="O110" s="463"/>
      <c r="P110" s="464"/>
      <c r="Q110" s="25"/>
      <c r="R110" s="25"/>
      <c r="S110" s="25"/>
      <c r="T110" s="25"/>
      <c r="U110" s="25"/>
    </row>
    <row r="111" spans="1:37" ht="15.75" thickBot="1">
      <c r="A111" s="434"/>
      <c r="B111" s="436"/>
      <c r="C111" s="436"/>
      <c r="D111" s="831"/>
      <c r="E111" s="436"/>
      <c r="F111" s="437"/>
      <c r="G111" s="438"/>
      <c r="H111" s="439"/>
      <c r="I111" s="439"/>
      <c r="J111" s="440"/>
      <c r="K111" s="453"/>
      <c r="L111" s="329"/>
      <c r="M111" s="329"/>
      <c r="N111" s="326"/>
      <c r="O111" s="326"/>
      <c r="P111" s="455"/>
      <c r="Q111" s="25"/>
      <c r="R111" s="25"/>
      <c r="S111" s="25"/>
      <c r="T111" s="25"/>
      <c r="U111" s="25"/>
    </row>
    <row r="112" spans="1:37" s="377" customFormat="1" ht="39" thickBot="1">
      <c r="A112" s="521" t="s">
        <v>1276</v>
      </c>
      <c r="B112" s="522" t="s">
        <v>1695</v>
      </c>
      <c r="C112" s="522"/>
      <c r="D112" s="522" t="s">
        <v>1391</v>
      </c>
      <c r="E112" s="522"/>
      <c r="F112" s="523"/>
      <c r="G112" s="524"/>
      <c r="H112" s="522" t="s">
        <v>1697</v>
      </c>
      <c r="I112" s="522" t="s">
        <v>1696</v>
      </c>
      <c r="J112" s="525"/>
      <c r="K112" s="449" t="s">
        <v>1654</v>
      </c>
      <c r="L112" s="450" t="s">
        <v>391</v>
      </c>
      <c r="M112" s="450" t="s">
        <v>249</v>
      </c>
      <c r="N112" s="451" t="s">
        <v>397</v>
      </c>
      <c r="O112" s="451" t="s">
        <v>398</v>
      </c>
      <c r="P112" s="452" t="s">
        <v>399</v>
      </c>
      <c r="AA112" s="378" t="s">
        <v>535</v>
      </c>
      <c r="AB112" s="378" t="s">
        <v>1564</v>
      </c>
      <c r="AC112" s="378"/>
      <c r="AD112" s="378"/>
      <c r="AE112" s="378"/>
      <c r="AF112" s="379"/>
      <c r="AG112" s="379"/>
      <c r="AH112" s="380" t="s">
        <v>392</v>
      </c>
      <c r="AI112" s="380" t="s">
        <v>419</v>
      </c>
      <c r="AJ112" s="380" t="s">
        <v>1418</v>
      </c>
      <c r="AK112" s="380" t="s">
        <v>1581</v>
      </c>
    </row>
    <row r="113" spans="1:37" s="293" customFormat="1">
      <c r="A113" s="395" t="s">
        <v>362</v>
      </c>
      <c r="B113" s="536">
        <v>0</v>
      </c>
      <c r="C113" s="428" t="s">
        <v>1707</v>
      </c>
      <c r="D113" s="828" t="s">
        <v>37</v>
      </c>
      <c r="E113" s="428"/>
      <c r="F113" s="641"/>
      <c r="G113" s="431"/>
      <c r="H113" s="331">
        <v>0</v>
      </c>
      <c r="I113" s="331">
        <v>0</v>
      </c>
      <c r="J113" s="428" t="s">
        <v>1707</v>
      </c>
      <c r="K113" s="907">
        <v>14640</v>
      </c>
      <c r="L113" s="908">
        <f t="shared" ref="L113:L144" si="9">(H113*AH113)*K113</f>
        <v>0</v>
      </c>
      <c r="M113" s="908">
        <f t="shared" ref="M113:M144" si="10">(I113*AH113)*K113</f>
        <v>0</v>
      </c>
      <c r="N113" s="329">
        <v>12.38</v>
      </c>
      <c r="O113" s="329">
        <f>8.96/2.291</f>
        <v>3.9109559144478401</v>
      </c>
      <c r="P113" s="454">
        <f>1.26/1.205</f>
        <v>1.0456431535269708</v>
      </c>
      <c r="AA113" s="294">
        <v>1</v>
      </c>
      <c r="AB113" s="274">
        <f t="shared" ref="AB113:AB144" si="11">B113*AA113</f>
        <v>0</v>
      </c>
      <c r="AC113" s="274"/>
      <c r="AD113" s="274"/>
      <c r="AE113" s="274"/>
      <c r="AF113" s="295"/>
      <c r="AG113" s="295"/>
      <c r="AH113" s="296">
        <v>0.55000000000000004</v>
      </c>
      <c r="AI113" s="296">
        <f t="shared" ref="AI113:AI144" si="12">AH113*I113</f>
        <v>0</v>
      </c>
      <c r="AJ113" s="296">
        <f t="shared" ref="AJ113:AJ125" si="13">AI113*$L$431</f>
        <v>0</v>
      </c>
      <c r="AK113" s="297">
        <f t="shared" ref="AK113:AK143" si="14">AJ113*K113</f>
        <v>0</v>
      </c>
    </row>
    <row r="114" spans="1:37" s="293" customFormat="1">
      <c r="A114" s="395" t="s">
        <v>563</v>
      </c>
      <c r="B114" s="536">
        <v>0</v>
      </c>
      <c r="C114" s="428" t="s">
        <v>1707</v>
      </c>
      <c r="D114" s="828" t="s">
        <v>37</v>
      </c>
      <c r="E114" s="428"/>
      <c r="F114" s="484"/>
      <c r="G114" s="431"/>
      <c r="H114" s="331">
        <v>0</v>
      </c>
      <c r="I114" s="331">
        <v>0</v>
      </c>
      <c r="J114" s="428" t="s">
        <v>1707</v>
      </c>
      <c r="K114" s="907">
        <v>14640</v>
      </c>
      <c r="L114" s="908">
        <f t="shared" si="9"/>
        <v>0</v>
      </c>
      <c r="M114" s="908">
        <f t="shared" si="10"/>
        <v>0</v>
      </c>
      <c r="N114" s="329">
        <v>11.25</v>
      </c>
      <c r="O114" s="329">
        <f>8.15/2.291</f>
        <v>3.5573985159319079</v>
      </c>
      <c r="P114" s="454">
        <f>1.15/1.205</f>
        <v>0.95435684647302887</v>
      </c>
      <c r="AA114" s="294">
        <v>0.8</v>
      </c>
      <c r="AB114" s="274">
        <f t="shared" si="11"/>
        <v>0</v>
      </c>
      <c r="AC114" s="274"/>
      <c r="AD114" s="274"/>
      <c r="AE114" s="274"/>
      <c r="AF114" s="295"/>
      <c r="AG114" s="295"/>
      <c r="AH114" s="296">
        <v>0.5</v>
      </c>
      <c r="AI114" s="296">
        <f t="shared" si="12"/>
        <v>0</v>
      </c>
      <c r="AJ114" s="296">
        <f t="shared" si="13"/>
        <v>0</v>
      </c>
      <c r="AK114" s="297">
        <f t="shared" si="14"/>
        <v>0</v>
      </c>
    </row>
    <row r="115" spans="1:37" s="293" customFormat="1">
      <c r="A115" s="395" t="s">
        <v>634</v>
      </c>
      <c r="B115" s="536">
        <v>0</v>
      </c>
      <c r="C115" s="428" t="s">
        <v>1707</v>
      </c>
      <c r="D115" s="828" t="s">
        <v>37</v>
      </c>
      <c r="E115" s="428"/>
      <c r="F115" s="484"/>
      <c r="G115" s="431"/>
      <c r="H115" s="331">
        <v>0</v>
      </c>
      <c r="I115" s="331">
        <v>0</v>
      </c>
      <c r="J115" s="428" t="s">
        <v>1707</v>
      </c>
      <c r="K115" s="907">
        <v>14640</v>
      </c>
      <c r="L115" s="908">
        <f t="shared" si="9"/>
        <v>0</v>
      </c>
      <c r="M115" s="908">
        <f t="shared" si="10"/>
        <v>0</v>
      </c>
      <c r="N115" s="329">
        <f>32*0.04</f>
        <v>1.28</v>
      </c>
      <c r="O115" s="329">
        <f>8*0.04/2.291</f>
        <v>0.1396769969445657</v>
      </c>
      <c r="P115" s="454">
        <f>2*0.04/1.205</f>
        <v>6.6390041493775934E-2</v>
      </c>
      <c r="AA115" s="294">
        <f>(0.34)*0.25</f>
        <v>8.5000000000000006E-2</v>
      </c>
      <c r="AB115" s="274">
        <f t="shared" si="11"/>
        <v>0</v>
      </c>
      <c r="AC115" s="274"/>
      <c r="AD115" s="274"/>
      <c r="AE115" s="274"/>
      <c r="AF115" s="295"/>
      <c r="AG115" s="295"/>
      <c r="AH115" s="296">
        <v>0.04</v>
      </c>
      <c r="AI115" s="296">
        <f t="shared" si="12"/>
        <v>0</v>
      </c>
      <c r="AJ115" s="296">
        <f t="shared" si="13"/>
        <v>0</v>
      </c>
      <c r="AK115" s="297">
        <f t="shared" si="14"/>
        <v>0</v>
      </c>
    </row>
    <row r="116" spans="1:37" s="293" customFormat="1">
      <c r="A116" s="395" t="s">
        <v>1361</v>
      </c>
      <c r="B116" s="536">
        <v>0</v>
      </c>
      <c r="C116" s="428" t="s">
        <v>1707</v>
      </c>
      <c r="D116" s="828" t="s">
        <v>37</v>
      </c>
      <c r="E116" s="428"/>
      <c r="F116" s="484"/>
      <c r="G116" s="431"/>
      <c r="H116" s="331">
        <v>0</v>
      </c>
      <c r="I116" s="331">
        <v>0</v>
      </c>
      <c r="J116" s="428" t="s">
        <v>1707</v>
      </c>
      <c r="K116" s="907">
        <v>14640</v>
      </c>
      <c r="L116" s="908">
        <f t="shared" si="9"/>
        <v>0</v>
      </c>
      <c r="M116" s="908">
        <f t="shared" si="10"/>
        <v>0</v>
      </c>
      <c r="N116" s="329">
        <v>2.25</v>
      </c>
      <c r="O116" s="329">
        <f>1.74/2.291</f>
        <v>0.759493670886076</v>
      </c>
      <c r="P116" s="454">
        <f>0.24/1.205</f>
        <v>0.19917012448132779</v>
      </c>
      <c r="AA116" s="294">
        <f>(0.34)*0.5</f>
        <v>0.17</v>
      </c>
      <c r="AB116" s="274">
        <f t="shared" si="11"/>
        <v>0</v>
      </c>
      <c r="AC116" s="274"/>
      <c r="AD116" s="274"/>
      <c r="AE116" s="274"/>
      <c r="AF116" s="295"/>
      <c r="AG116" s="295"/>
      <c r="AH116" s="296">
        <f>0.1</f>
        <v>0.1</v>
      </c>
      <c r="AI116" s="296">
        <f t="shared" si="12"/>
        <v>0</v>
      </c>
      <c r="AJ116" s="296">
        <f t="shared" si="13"/>
        <v>0</v>
      </c>
      <c r="AK116" s="297">
        <f t="shared" si="14"/>
        <v>0</v>
      </c>
    </row>
    <row r="117" spans="1:37" s="293" customFormat="1">
      <c r="A117" s="395" t="s">
        <v>1362</v>
      </c>
      <c r="B117" s="536">
        <v>0</v>
      </c>
      <c r="C117" s="428" t="s">
        <v>1707</v>
      </c>
      <c r="D117" s="828" t="s">
        <v>37</v>
      </c>
      <c r="E117" s="428"/>
      <c r="F117" s="484"/>
      <c r="G117" s="431"/>
      <c r="H117" s="331">
        <v>0</v>
      </c>
      <c r="I117" s="331">
        <v>0</v>
      </c>
      <c r="J117" s="428" t="s">
        <v>1707</v>
      </c>
      <c r="K117" s="907">
        <v>14640</v>
      </c>
      <c r="L117" s="908">
        <f t="shared" si="9"/>
        <v>0</v>
      </c>
      <c r="M117" s="908">
        <f t="shared" si="10"/>
        <v>0</v>
      </c>
      <c r="N117" s="329">
        <v>4.05</v>
      </c>
      <c r="O117" s="329">
        <f>2.93/2.291</f>
        <v>1.2789175032736797</v>
      </c>
      <c r="P117" s="454">
        <f>0.41/1.205</f>
        <v>0.34024896265560162</v>
      </c>
      <c r="AA117" s="294">
        <f>0.34*0.75</f>
        <v>0.255</v>
      </c>
      <c r="AB117" s="274">
        <f t="shared" si="11"/>
        <v>0</v>
      </c>
      <c r="AC117" s="274"/>
      <c r="AD117" s="274"/>
      <c r="AE117" s="274"/>
      <c r="AF117" s="295"/>
      <c r="AG117" s="295"/>
      <c r="AH117" s="296">
        <v>0.18</v>
      </c>
      <c r="AI117" s="296">
        <f t="shared" si="12"/>
        <v>0</v>
      </c>
      <c r="AJ117" s="296">
        <f t="shared" si="13"/>
        <v>0</v>
      </c>
      <c r="AK117" s="297">
        <f t="shared" si="14"/>
        <v>0</v>
      </c>
    </row>
    <row r="118" spans="1:37" s="293" customFormat="1">
      <c r="A118" s="395" t="s">
        <v>1363</v>
      </c>
      <c r="B118" s="536">
        <v>0</v>
      </c>
      <c r="C118" s="428" t="s">
        <v>1707</v>
      </c>
      <c r="D118" s="828" t="s">
        <v>37</v>
      </c>
      <c r="E118" s="428"/>
      <c r="F118" s="484"/>
      <c r="G118" s="431"/>
      <c r="H118" s="331">
        <v>0</v>
      </c>
      <c r="I118" s="331">
        <v>0</v>
      </c>
      <c r="J118" s="428" t="s">
        <v>1707</v>
      </c>
      <c r="K118" s="907">
        <v>14640</v>
      </c>
      <c r="L118" s="908">
        <f t="shared" si="9"/>
        <v>0</v>
      </c>
      <c r="M118" s="908">
        <f t="shared" si="10"/>
        <v>0</v>
      </c>
      <c r="N118" s="329">
        <v>9</v>
      </c>
      <c r="O118" s="329">
        <f>6.52/2.291</f>
        <v>2.8459188127455257</v>
      </c>
      <c r="P118" s="454">
        <f>0.92/1.205</f>
        <v>0.76348547717842319</v>
      </c>
      <c r="AA118" s="294">
        <v>0.65</v>
      </c>
      <c r="AB118" s="274">
        <f t="shared" si="11"/>
        <v>0</v>
      </c>
      <c r="AC118" s="274"/>
      <c r="AD118" s="275" t="s">
        <v>1565</v>
      </c>
      <c r="AE118" s="274"/>
      <c r="AF118" s="295"/>
      <c r="AG118" s="295"/>
      <c r="AH118" s="296">
        <v>0.4</v>
      </c>
      <c r="AI118" s="296">
        <f t="shared" si="12"/>
        <v>0</v>
      </c>
      <c r="AJ118" s="296">
        <f t="shared" si="13"/>
        <v>0</v>
      </c>
      <c r="AK118" s="297">
        <f t="shared" si="14"/>
        <v>0</v>
      </c>
    </row>
    <row r="119" spans="1:37" s="293" customFormat="1">
      <c r="A119" s="395" t="s">
        <v>1364</v>
      </c>
      <c r="B119" s="536">
        <v>0</v>
      </c>
      <c r="C119" s="428" t="s">
        <v>1707</v>
      </c>
      <c r="D119" s="828" t="s">
        <v>37</v>
      </c>
      <c r="E119" s="428"/>
      <c r="F119" s="484"/>
      <c r="G119" s="431"/>
      <c r="H119" s="331">
        <v>0</v>
      </c>
      <c r="I119" s="331">
        <v>0</v>
      </c>
      <c r="J119" s="428" t="s">
        <v>1707</v>
      </c>
      <c r="K119" s="907">
        <v>14640</v>
      </c>
      <c r="L119" s="908">
        <f t="shared" si="9"/>
        <v>0</v>
      </c>
      <c r="M119" s="908">
        <f t="shared" si="10"/>
        <v>0</v>
      </c>
      <c r="N119" s="329">
        <v>22.5</v>
      </c>
      <c r="O119" s="329">
        <f>16.3/2.291</f>
        <v>7.1147970318638158</v>
      </c>
      <c r="P119" s="454">
        <f>2.3/1.205</f>
        <v>1.9087136929460577</v>
      </c>
      <c r="AA119" s="294">
        <v>0.8</v>
      </c>
      <c r="AB119" s="274">
        <f t="shared" si="11"/>
        <v>0</v>
      </c>
      <c r="AC119" s="274"/>
      <c r="AD119" s="274">
        <f>SUM(AB113:AB119)</f>
        <v>0</v>
      </c>
      <c r="AE119" s="274"/>
      <c r="AF119" s="295"/>
      <c r="AG119" s="295"/>
      <c r="AH119" s="296">
        <v>0.5</v>
      </c>
      <c r="AI119" s="296">
        <f t="shared" si="12"/>
        <v>0</v>
      </c>
      <c r="AJ119" s="296">
        <f t="shared" si="13"/>
        <v>0</v>
      </c>
      <c r="AK119" s="297">
        <f t="shared" si="14"/>
        <v>0</v>
      </c>
    </row>
    <row r="120" spans="1:37" s="293" customFormat="1">
      <c r="A120" s="395" t="s">
        <v>51</v>
      </c>
      <c r="B120" s="536">
        <v>0</v>
      </c>
      <c r="C120" s="428" t="s">
        <v>1707</v>
      </c>
      <c r="D120" s="828" t="s">
        <v>37</v>
      </c>
      <c r="E120" s="428"/>
      <c r="F120" s="484"/>
      <c r="G120" s="431"/>
      <c r="H120" s="331">
        <v>0</v>
      </c>
      <c r="I120" s="331">
        <v>0</v>
      </c>
      <c r="J120" s="428" t="s">
        <v>1707</v>
      </c>
      <c r="K120" s="907">
        <v>14640</v>
      </c>
      <c r="L120" s="908">
        <f t="shared" si="9"/>
        <v>0</v>
      </c>
      <c r="M120" s="908">
        <f t="shared" si="10"/>
        <v>0</v>
      </c>
      <c r="N120" s="329">
        <v>11.25</v>
      </c>
      <c r="O120" s="329">
        <f>8.15/2.291</f>
        <v>3.5573985159319079</v>
      </c>
      <c r="P120" s="454">
        <f>1.15/1.205</f>
        <v>0.95435684647302887</v>
      </c>
      <c r="AA120" s="294">
        <v>0.75</v>
      </c>
      <c r="AB120" s="274">
        <f t="shared" si="11"/>
        <v>0</v>
      </c>
      <c r="AC120" s="274"/>
      <c r="AD120" s="274"/>
      <c r="AE120" s="274"/>
      <c r="AF120" s="295"/>
      <c r="AG120" s="295"/>
      <c r="AH120" s="296">
        <v>0.5</v>
      </c>
      <c r="AI120" s="296">
        <f t="shared" si="12"/>
        <v>0</v>
      </c>
      <c r="AJ120" s="296">
        <f t="shared" si="13"/>
        <v>0</v>
      </c>
      <c r="AK120" s="297">
        <f t="shared" si="14"/>
        <v>0</v>
      </c>
    </row>
    <row r="121" spans="1:37" s="293" customFormat="1">
      <c r="A121" s="395" t="s">
        <v>1365</v>
      </c>
      <c r="B121" s="536">
        <v>0</v>
      </c>
      <c r="C121" s="428" t="s">
        <v>1707</v>
      </c>
      <c r="D121" s="828" t="s">
        <v>37</v>
      </c>
      <c r="E121" s="428"/>
      <c r="F121" s="484"/>
      <c r="G121" s="431"/>
      <c r="H121" s="331">
        <v>0</v>
      </c>
      <c r="I121" s="331">
        <v>0</v>
      </c>
      <c r="J121" s="428" t="s">
        <v>1707</v>
      </c>
      <c r="K121" s="907">
        <v>14640</v>
      </c>
      <c r="L121" s="908">
        <f t="shared" si="9"/>
        <v>0</v>
      </c>
      <c r="M121" s="908">
        <f t="shared" si="10"/>
        <v>0</v>
      </c>
      <c r="N121" s="329">
        <v>2.25</v>
      </c>
      <c r="O121" s="329">
        <f>1.74/2.291</f>
        <v>0.759493670886076</v>
      </c>
      <c r="P121" s="454">
        <f>0.24/1.205</f>
        <v>0.19917012448132779</v>
      </c>
      <c r="AA121" s="294">
        <f>0.34*0.5</f>
        <v>0.17</v>
      </c>
      <c r="AB121" s="274">
        <f t="shared" si="11"/>
        <v>0</v>
      </c>
      <c r="AC121" s="274"/>
      <c r="AD121" s="274"/>
      <c r="AE121" s="274"/>
      <c r="AF121" s="295"/>
      <c r="AG121" s="295"/>
      <c r="AH121" s="296">
        <f>0.1</f>
        <v>0.1</v>
      </c>
      <c r="AI121" s="296">
        <f t="shared" si="12"/>
        <v>0</v>
      </c>
      <c r="AJ121" s="296">
        <f t="shared" si="13"/>
        <v>0</v>
      </c>
      <c r="AK121" s="297">
        <f t="shared" si="14"/>
        <v>0</v>
      </c>
    </row>
    <row r="122" spans="1:37" s="293" customFormat="1">
      <c r="A122" s="395" t="s">
        <v>1366</v>
      </c>
      <c r="B122" s="536">
        <v>0</v>
      </c>
      <c r="C122" s="428" t="s">
        <v>1707</v>
      </c>
      <c r="D122" s="828" t="s">
        <v>37</v>
      </c>
      <c r="E122" s="428"/>
      <c r="F122" s="484"/>
      <c r="G122" s="431"/>
      <c r="H122" s="331">
        <v>0</v>
      </c>
      <c r="I122" s="331">
        <v>0</v>
      </c>
      <c r="J122" s="428" t="s">
        <v>1707</v>
      </c>
      <c r="K122" s="907">
        <v>14640</v>
      </c>
      <c r="L122" s="908">
        <f t="shared" si="9"/>
        <v>0</v>
      </c>
      <c r="M122" s="908">
        <f t="shared" si="10"/>
        <v>0</v>
      </c>
      <c r="N122" s="329">
        <v>4.05</v>
      </c>
      <c r="O122" s="329">
        <f>2.93/2.291</f>
        <v>1.2789175032736797</v>
      </c>
      <c r="P122" s="454">
        <f>0.41/1.205</f>
        <v>0.34024896265560162</v>
      </c>
      <c r="AA122" s="294">
        <f>0.34*0.75</f>
        <v>0.255</v>
      </c>
      <c r="AB122" s="274">
        <f t="shared" si="11"/>
        <v>0</v>
      </c>
      <c r="AC122" s="274"/>
      <c r="AD122" s="274"/>
      <c r="AE122" s="274"/>
      <c r="AF122" s="295"/>
      <c r="AG122" s="295"/>
      <c r="AH122" s="296">
        <v>0.18</v>
      </c>
      <c r="AI122" s="296">
        <f t="shared" si="12"/>
        <v>0</v>
      </c>
      <c r="AJ122" s="296">
        <f t="shared" si="13"/>
        <v>0</v>
      </c>
      <c r="AK122" s="297">
        <f t="shared" si="14"/>
        <v>0</v>
      </c>
    </row>
    <row r="123" spans="1:37" s="293" customFormat="1">
      <c r="A123" s="395" t="s">
        <v>1367</v>
      </c>
      <c r="B123" s="536">
        <v>0</v>
      </c>
      <c r="C123" s="428" t="s">
        <v>1707</v>
      </c>
      <c r="D123" s="828" t="s">
        <v>37</v>
      </c>
      <c r="E123" s="428"/>
      <c r="F123" s="484"/>
      <c r="G123" s="431"/>
      <c r="H123" s="331">
        <v>0</v>
      </c>
      <c r="I123" s="331">
        <v>0</v>
      </c>
      <c r="J123" s="428" t="s">
        <v>1707</v>
      </c>
      <c r="K123" s="907">
        <v>14640</v>
      </c>
      <c r="L123" s="908">
        <f t="shared" si="9"/>
        <v>0</v>
      </c>
      <c r="M123" s="908">
        <f t="shared" si="10"/>
        <v>0</v>
      </c>
      <c r="N123" s="329">
        <v>9</v>
      </c>
      <c r="O123" s="329">
        <f>6.52/2.291</f>
        <v>2.8459188127455257</v>
      </c>
      <c r="P123" s="454">
        <f>0.92/1.205</f>
        <v>0.76348547717842319</v>
      </c>
      <c r="AA123" s="294">
        <v>0.65</v>
      </c>
      <c r="AB123" s="274">
        <f t="shared" si="11"/>
        <v>0</v>
      </c>
      <c r="AC123" s="274"/>
      <c r="AD123" s="274"/>
      <c r="AE123" s="274"/>
      <c r="AF123" s="295"/>
      <c r="AG123" s="295"/>
      <c r="AH123" s="296">
        <v>0.4</v>
      </c>
      <c r="AI123" s="296">
        <f t="shared" si="12"/>
        <v>0</v>
      </c>
      <c r="AJ123" s="296">
        <f t="shared" si="13"/>
        <v>0</v>
      </c>
      <c r="AK123" s="297">
        <f t="shared" si="14"/>
        <v>0</v>
      </c>
    </row>
    <row r="124" spans="1:37" s="293" customFormat="1">
      <c r="A124" s="395" t="s">
        <v>1368</v>
      </c>
      <c r="B124" s="536">
        <v>0</v>
      </c>
      <c r="C124" s="428" t="s">
        <v>1707</v>
      </c>
      <c r="D124" s="828" t="s">
        <v>37</v>
      </c>
      <c r="E124" s="428"/>
      <c r="F124" s="484"/>
      <c r="G124" s="431"/>
      <c r="H124" s="331">
        <v>0</v>
      </c>
      <c r="I124" s="331">
        <v>0</v>
      </c>
      <c r="J124" s="428" t="s">
        <v>1707</v>
      </c>
      <c r="K124" s="907">
        <v>14640</v>
      </c>
      <c r="L124" s="908">
        <f t="shared" si="9"/>
        <v>0</v>
      </c>
      <c r="M124" s="908">
        <f t="shared" si="10"/>
        <v>0</v>
      </c>
      <c r="N124" s="329">
        <v>22.5</v>
      </c>
      <c r="O124" s="329">
        <f>16.3/2.291</f>
        <v>7.1147970318638158</v>
      </c>
      <c r="P124" s="454">
        <f>2.3/1.205</f>
        <v>1.9087136929460577</v>
      </c>
      <c r="AA124" s="294">
        <v>0.8</v>
      </c>
      <c r="AB124" s="274">
        <f t="shared" si="11"/>
        <v>0</v>
      </c>
      <c r="AC124" s="274"/>
      <c r="AD124" s="275" t="s">
        <v>1566</v>
      </c>
      <c r="AE124" s="274"/>
      <c r="AF124" s="295"/>
      <c r="AG124" s="295"/>
      <c r="AH124" s="296">
        <v>0.5</v>
      </c>
      <c r="AI124" s="296">
        <f t="shared" si="12"/>
        <v>0</v>
      </c>
      <c r="AJ124" s="296">
        <f t="shared" si="13"/>
        <v>0</v>
      </c>
      <c r="AK124" s="297">
        <f t="shared" si="14"/>
        <v>0</v>
      </c>
    </row>
    <row r="125" spans="1:37" s="293" customFormat="1">
      <c r="A125" s="395" t="s">
        <v>564</v>
      </c>
      <c r="B125" s="536">
        <v>0</v>
      </c>
      <c r="C125" s="428" t="s">
        <v>1707</v>
      </c>
      <c r="D125" s="828" t="s">
        <v>37</v>
      </c>
      <c r="E125" s="428"/>
      <c r="F125" s="484"/>
      <c r="G125" s="431"/>
      <c r="H125" s="331">
        <v>0</v>
      </c>
      <c r="I125" s="331">
        <v>0</v>
      </c>
      <c r="J125" s="428" t="s">
        <v>1707</v>
      </c>
      <c r="K125" s="907">
        <v>14640</v>
      </c>
      <c r="L125" s="908">
        <f t="shared" si="9"/>
        <v>0</v>
      </c>
      <c r="M125" s="908">
        <f t="shared" si="10"/>
        <v>0</v>
      </c>
      <c r="N125" s="329">
        <v>30.38</v>
      </c>
      <c r="O125" s="329">
        <f>22/2.291</f>
        <v>9.602793539938892</v>
      </c>
      <c r="P125" s="454">
        <f>3.1/1.205</f>
        <v>2.5726141078838172</v>
      </c>
      <c r="AA125" s="294">
        <v>0.65</v>
      </c>
      <c r="AB125" s="274">
        <f t="shared" si="11"/>
        <v>0</v>
      </c>
      <c r="AC125" s="274"/>
      <c r="AD125" s="274">
        <f>SUM(AB120:AB125)</f>
        <v>0</v>
      </c>
      <c r="AE125" s="274"/>
      <c r="AF125" s="295"/>
      <c r="AG125" s="295"/>
      <c r="AH125" s="296">
        <v>1.35</v>
      </c>
      <c r="AI125" s="296">
        <f t="shared" si="12"/>
        <v>0</v>
      </c>
      <c r="AJ125" s="296">
        <f t="shared" si="13"/>
        <v>0</v>
      </c>
      <c r="AK125" s="297">
        <f t="shared" si="14"/>
        <v>0</v>
      </c>
    </row>
    <row r="126" spans="1:37" s="293" customFormat="1">
      <c r="A126" s="395" t="s">
        <v>52</v>
      </c>
      <c r="B126" s="536">
        <v>0</v>
      </c>
      <c r="C126" s="428" t="s">
        <v>1707</v>
      </c>
      <c r="D126" s="828" t="s">
        <v>37</v>
      </c>
      <c r="E126" s="428"/>
      <c r="F126" s="484"/>
      <c r="G126" s="431"/>
      <c r="H126" s="331">
        <v>0</v>
      </c>
      <c r="I126" s="331">
        <v>0</v>
      </c>
      <c r="J126" s="428" t="s">
        <v>1707</v>
      </c>
      <c r="K126" s="907">
        <v>10120</v>
      </c>
      <c r="L126" s="908">
        <f t="shared" si="9"/>
        <v>0</v>
      </c>
      <c r="M126" s="908">
        <f t="shared" si="10"/>
        <v>0</v>
      </c>
      <c r="N126" s="329">
        <v>1.5</v>
      </c>
      <c r="O126" s="329">
        <f>0.7/2.291</f>
        <v>0.30554343081623742</v>
      </c>
      <c r="P126" s="454">
        <f>0.11/1.205</f>
        <v>9.1286307053941904E-2</v>
      </c>
      <c r="AA126" s="294">
        <f>AVERAGE(0.08,0.06)</f>
        <v>7.0000000000000007E-2</v>
      </c>
      <c r="AB126" s="274">
        <f t="shared" si="11"/>
        <v>0</v>
      </c>
      <c r="AC126" s="274"/>
      <c r="AD126" s="274"/>
      <c r="AE126" s="274"/>
      <c r="AF126" s="295"/>
      <c r="AG126" s="295"/>
      <c r="AH126" s="296">
        <f>0.06</f>
        <v>0.06</v>
      </c>
      <c r="AI126" s="296">
        <f t="shared" si="12"/>
        <v>0</v>
      </c>
      <c r="AJ126" s="296">
        <f>AI126*$L$432</f>
        <v>0</v>
      </c>
      <c r="AK126" s="297">
        <f t="shared" si="14"/>
        <v>0</v>
      </c>
    </row>
    <row r="127" spans="1:37" s="293" customFormat="1">
      <c r="A127" s="395" t="s">
        <v>53</v>
      </c>
      <c r="B127" s="536">
        <v>0</v>
      </c>
      <c r="C127" s="428" t="s">
        <v>1707</v>
      </c>
      <c r="D127" s="828" t="s">
        <v>37</v>
      </c>
      <c r="E127" s="428"/>
      <c r="F127" s="484"/>
      <c r="G127" s="431"/>
      <c r="H127" s="331">
        <v>0</v>
      </c>
      <c r="I127" s="331">
        <v>0</v>
      </c>
      <c r="J127" s="428" t="s">
        <v>1707</v>
      </c>
      <c r="K127" s="907">
        <v>10120</v>
      </c>
      <c r="L127" s="908">
        <f t="shared" si="9"/>
        <v>0</v>
      </c>
      <c r="M127" s="908">
        <f t="shared" si="10"/>
        <v>0</v>
      </c>
      <c r="N127" s="329">
        <v>0.42</v>
      </c>
      <c r="O127" s="329">
        <f>0.2/2.291</f>
        <v>8.7298123090353563E-2</v>
      </c>
      <c r="P127" s="454">
        <f>0.03/1.205</f>
        <v>2.4896265560165973E-2</v>
      </c>
      <c r="AA127" s="294">
        <v>0.04</v>
      </c>
      <c r="AB127" s="274">
        <f t="shared" si="11"/>
        <v>0</v>
      </c>
      <c r="AC127" s="274"/>
      <c r="AD127" s="274"/>
      <c r="AE127" s="274"/>
      <c r="AF127" s="295"/>
      <c r="AG127" s="295"/>
      <c r="AH127" s="296">
        <f>0.04</f>
        <v>0.04</v>
      </c>
      <c r="AI127" s="296">
        <f t="shared" si="12"/>
        <v>0</v>
      </c>
      <c r="AJ127" s="296">
        <f>AI127*$L$432</f>
        <v>0</v>
      </c>
      <c r="AK127" s="297">
        <f t="shared" si="14"/>
        <v>0</v>
      </c>
    </row>
    <row r="128" spans="1:37" s="293" customFormat="1">
      <c r="A128" s="395" t="s">
        <v>54</v>
      </c>
      <c r="B128" s="536">
        <v>0</v>
      </c>
      <c r="C128" s="428" t="s">
        <v>1707</v>
      </c>
      <c r="D128" s="828" t="s">
        <v>37</v>
      </c>
      <c r="E128" s="428"/>
      <c r="F128" s="484"/>
      <c r="G128" s="431"/>
      <c r="H128" s="331">
        <v>0</v>
      </c>
      <c r="I128" s="331">
        <v>0</v>
      </c>
      <c r="J128" s="428" t="s">
        <v>1707</v>
      </c>
      <c r="K128" s="907">
        <v>10120</v>
      </c>
      <c r="L128" s="908">
        <f t="shared" si="9"/>
        <v>0</v>
      </c>
      <c r="M128" s="908">
        <f t="shared" si="10"/>
        <v>0</v>
      </c>
      <c r="N128" s="329">
        <v>1.5</v>
      </c>
      <c r="O128" s="329">
        <f>0.7/2.291</f>
        <v>0.30554343081623742</v>
      </c>
      <c r="P128" s="454">
        <f>0.11/1.205</f>
        <v>9.1286307053941904E-2</v>
      </c>
      <c r="AA128" s="294">
        <v>0.08</v>
      </c>
      <c r="AB128" s="274">
        <f t="shared" si="11"/>
        <v>0</v>
      </c>
      <c r="AC128" s="274"/>
      <c r="AD128" s="275" t="s">
        <v>1567</v>
      </c>
      <c r="AE128" s="274"/>
      <c r="AF128" s="295"/>
      <c r="AG128" s="295"/>
      <c r="AH128" s="296">
        <f>0.06</f>
        <v>0.06</v>
      </c>
      <c r="AI128" s="296">
        <f t="shared" si="12"/>
        <v>0</v>
      </c>
      <c r="AJ128" s="296">
        <f>AI128*$L$432</f>
        <v>0</v>
      </c>
      <c r="AK128" s="297">
        <f t="shared" si="14"/>
        <v>0</v>
      </c>
    </row>
    <row r="129" spans="1:37" s="293" customFormat="1">
      <c r="A129" s="395" t="s">
        <v>55</v>
      </c>
      <c r="B129" s="536">
        <v>0</v>
      </c>
      <c r="C129" s="428" t="s">
        <v>1707</v>
      </c>
      <c r="D129" s="828" t="s">
        <v>37</v>
      </c>
      <c r="E129" s="428"/>
      <c r="F129" s="484"/>
      <c r="G129" s="431"/>
      <c r="H129" s="331">
        <v>0</v>
      </c>
      <c r="I129" s="331">
        <v>0</v>
      </c>
      <c r="J129" s="428" t="s">
        <v>1707</v>
      </c>
      <c r="K129" s="907">
        <v>10120</v>
      </c>
      <c r="L129" s="908">
        <f t="shared" si="9"/>
        <v>0</v>
      </c>
      <c r="M129" s="908">
        <f t="shared" si="10"/>
        <v>0</v>
      </c>
      <c r="N129" s="329">
        <v>1.5</v>
      </c>
      <c r="O129" s="329">
        <f>0.7/2.291</f>
        <v>0.30554343081623742</v>
      </c>
      <c r="P129" s="454">
        <f>0.11/1.205</f>
        <v>9.1286307053941904E-2</v>
      </c>
      <c r="AA129" s="294">
        <v>0.08</v>
      </c>
      <c r="AB129" s="274">
        <f t="shared" si="11"/>
        <v>0</v>
      </c>
      <c r="AC129" s="274"/>
      <c r="AD129" s="274">
        <f>SUM(AB126:AB128)</f>
        <v>0</v>
      </c>
      <c r="AE129" s="274"/>
      <c r="AF129" s="295"/>
      <c r="AG129" s="295"/>
      <c r="AH129" s="296">
        <f>0.06</f>
        <v>0.06</v>
      </c>
      <c r="AI129" s="296">
        <f t="shared" si="12"/>
        <v>0</v>
      </c>
      <c r="AJ129" s="296">
        <f>AI129*$L$432</f>
        <v>0</v>
      </c>
      <c r="AK129" s="297">
        <f t="shared" si="14"/>
        <v>0</v>
      </c>
    </row>
    <row r="130" spans="1:37" s="293" customFormat="1">
      <c r="A130" s="395" t="s">
        <v>405</v>
      </c>
      <c r="B130" s="536">
        <v>0</v>
      </c>
      <c r="C130" s="428" t="s">
        <v>1707</v>
      </c>
      <c r="D130" s="828" t="s">
        <v>37</v>
      </c>
      <c r="E130" s="428"/>
      <c r="F130" s="484"/>
      <c r="G130" s="431"/>
      <c r="H130" s="331">
        <v>0</v>
      </c>
      <c r="I130" s="331">
        <v>0</v>
      </c>
      <c r="J130" s="428" t="s">
        <v>1707</v>
      </c>
      <c r="K130" s="907">
        <v>11790</v>
      </c>
      <c r="L130" s="908">
        <f t="shared" si="9"/>
        <v>0</v>
      </c>
      <c r="M130" s="908">
        <f t="shared" si="10"/>
        <v>0</v>
      </c>
      <c r="N130" s="329">
        <v>10.8</v>
      </c>
      <c r="O130" s="329">
        <f>5.26/2.291</f>
        <v>2.2959406372762987</v>
      </c>
      <c r="P130" s="454">
        <f>0.81/1.205</f>
        <v>0.67219917012448138</v>
      </c>
      <c r="AA130" s="294">
        <v>0.44</v>
      </c>
      <c r="AB130" s="274">
        <f t="shared" si="11"/>
        <v>0</v>
      </c>
      <c r="AC130" s="274"/>
      <c r="AD130" s="274"/>
      <c r="AE130" s="274"/>
      <c r="AF130" s="295"/>
      <c r="AG130" s="295"/>
      <c r="AH130" s="296">
        <v>0.22500000000000001</v>
      </c>
      <c r="AI130" s="296">
        <f t="shared" si="12"/>
        <v>0</v>
      </c>
      <c r="AJ130" s="296">
        <f>AI130*$L$437</f>
        <v>0</v>
      </c>
      <c r="AK130" s="297">
        <f t="shared" si="14"/>
        <v>0</v>
      </c>
    </row>
    <row r="131" spans="1:37" s="293" customFormat="1">
      <c r="A131" s="395" t="s">
        <v>406</v>
      </c>
      <c r="B131" s="536">
        <v>0</v>
      </c>
      <c r="C131" s="428" t="s">
        <v>1707</v>
      </c>
      <c r="D131" s="828" t="s">
        <v>37</v>
      </c>
      <c r="E131" s="428"/>
      <c r="F131" s="484"/>
      <c r="G131" s="431"/>
      <c r="H131" s="331">
        <v>0</v>
      </c>
      <c r="I131" s="331">
        <v>0</v>
      </c>
      <c r="J131" s="428" t="s">
        <v>1707</v>
      </c>
      <c r="K131" s="907">
        <v>11790</v>
      </c>
      <c r="L131" s="908">
        <f t="shared" si="9"/>
        <v>0</v>
      </c>
      <c r="M131" s="908">
        <f t="shared" si="10"/>
        <v>0</v>
      </c>
      <c r="N131" s="329">
        <v>0.17</v>
      </c>
      <c r="O131" s="329">
        <f>0.08/2.291</f>
        <v>3.4919249236141425E-2</v>
      </c>
      <c r="P131" s="454">
        <f>0.01/1.205</f>
        <v>8.2987551867219917E-3</v>
      </c>
      <c r="AA131" s="294">
        <f>0.17*0.5</f>
        <v>8.5000000000000006E-2</v>
      </c>
      <c r="AB131" s="274">
        <f t="shared" si="11"/>
        <v>0</v>
      </c>
      <c r="AC131" s="274"/>
      <c r="AD131" s="274"/>
      <c r="AE131" s="274"/>
      <c r="AF131" s="295"/>
      <c r="AG131" s="295"/>
      <c r="AH131" s="296">
        <f>0.007</f>
        <v>7.0000000000000001E-3</v>
      </c>
      <c r="AI131" s="296">
        <f t="shared" si="12"/>
        <v>0</v>
      </c>
      <c r="AJ131" s="296">
        <f>AI131*$L$436</f>
        <v>0</v>
      </c>
      <c r="AK131" s="297">
        <f t="shared" si="14"/>
        <v>0</v>
      </c>
    </row>
    <row r="132" spans="1:37" s="293" customFormat="1">
      <c r="A132" s="395" t="s">
        <v>407</v>
      </c>
      <c r="B132" s="536">
        <v>0</v>
      </c>
      <c r="C132" s="428" t="s">
        <v>1707</v>
      </c>
      <c r="D132" s="828" t="s">
        <v>37</v>
      </c>
      <c r="E132" s="428"/>
      <c r="F132" s="484"/>
      <c r="G132" s="431"/>
      <c r="H132" s="331">
        <v>0</v>
      </c>
      <c r="I132" s="331">
        <v>0</v>
      </c>
      <c r="J132" s="428" t="s">
        <v>1707</v>
      </c>
      <c r="K132" s="907">
        <v>11790</v>
      </c>
      <c r="L132" s="908">
        <f t="shared" si="9"/>
        <v>0</v>
      </c>
      <c r="M132" s="908">
        <f t="shared" si="10"/>
        <v>0</v>
      </c>
      <c r="N132" s="329">
        <v>0.43</v>
      </c>
      <c r="O132" s="329">
        <f>0.21/2.291</f>
        <v>9.1663029244871241E-2</v>
      </c>
      <c r="P132" s="454">
        <f>0.03/1.205</f>
        <v>2.4896265560165973E-2</v>
      </c>
      <c r="AA132" s="294">
        <f>0.17*0.75</f>
        <v>0.1275</v>
      </c>
      <c r="AB132" s="274">
        <f t="shared" si="11"/>
        <v>0</v>
      </c>
      <c r="AC132" s="274"/>
      <c r="AD132" s="274"/>
      <c r="AE132" s="274"/>
      <c r="AF132" s="295"/>
      <c r="AG132" s="295"/>
      <c r="AH132" s="296">
        <f>0.018</f>
        <v>1.7999999999999999E-2</v>
      </c>
      <c r="AI132" s="296">
        <f t="shared" si="12"/>
        <v>0</v>
      </c>
      <c r="AJ132" s="296">
        <f>AI132*$L$436</f>
        <v>0</v>
      </c>
      <c r="AK132" s="297">
        <f t="shared" si="14"/>
        <v>0</v>
      </c>
    </row>
    <row r="133" spans="1:37" s="293" customFormat="1">
      <c r="A133" s="395" t="s">
        <v>56</v>
      </c>
      <c r="B133" s="536">
        <v>0</v>
      </c>
      <c r="C133" s="428" t="s">
        <v>1707</v>
      </c>
      <c r="D133" s="828" t="s">
        <v>37</v>
      </c>
      <c r="E133" s="428"/>
      <c r="F133" s="484"/>
      <c r="G133" s="431"/>
      <c r="H133" s="331">
        <v>0</v>
      </c>
      <c r="I133" s="331">
        <v>0</v>
      </c>
      <c r="J133" s="428" t="s">
        <v>1707</v>
      </c>
      <c r="K133" s="907">
        <v>11790</v>
      </c>
      <c r="L133" s="908">
        <f t="shared" si="9"/>
        <v>0</v>
      </c>
      <c r="M133" s="908">
        <f t="shared" si="10"/>
        <v>0</v>
      </c>
      <c r="N133" s="329">
        <v>2.04</v>
      </c>
      <c r="O133" s="329">
        <f>0.99/2.291</f>
        <v>0.43212570929725014</v>
      </c>
      <c r="P133" s="454">
        <f>0.15/1.205</f>
        <v>0.12448132780082986</v>
      </c>
      <c r="AA133" s="294">
        <v>0.17</v>
      </c>
      <c r="AB133" s="274">
        <f t="shared" si="11"/>
        <v>0</v>
      </c>
      <c r="AC133" s="274"/>
      <c r="AD133" s="274"/>
      <c r="AE133" s="274"/>
      <c r="AF133" s="295"/>
      <c r="AG133" s="295"/>
      <c r="AH133" s="296">
        <f>0.085</f>
        <v>8.5000000000000006E-2</v>
      </c>
      <c r="AI133" s="296">
        <f t="shared" si="12"/>
        <v>0</v>
      </c>
      <c r="AJ133" s="296">
        <f>AI133*$L$436</f>
        <v>0</v>
      </c>
      <c r="AK133" s="297">
        <f t="shared" si="14"/>
        <v>0</v>
      </c>
    </row>
    <row r="134" spans="1:37" s="293" customFormat="1">
      <c r="A134" s="395" t="s">
        <v>57</v>
      </c>
      <c r="B134" s="536">
        <v>0</v>
      </c>
      <c r="C134" s="428" t="s">
        <v>1707</v>
      </c>
      <c r="D134" s="828" t="s">
        <v>37</v>
      </c>
      <c r="E134" s="428"/>
      <c r="F134" s="484"/>
      <c r="G134" s="431"/>
      <c r="H134" s="331">
        <v>0</v>
      </c>
      <c r="I134" s="331">
        <v>0</v>
      </c>
      <c r="J134" s="428" t="s">
        <v>1707</v>
      </c>
      <c r="K134" s="907">
        <v>11790</v>
      </c>
      <c r="L134" s="908">
        <f t="shared" si="9"/>
        <v>0</v>
      </c>
      <c r="M134" s="908">
        <f t="shared" si="10"/>
        <v>0</v>
      </c>
      <c r="N134" s="329">
        <v>2.52</v>
      </c>
      <c r="O134" s="329">
        <f>1.23/2.291</f>
        <v>0.53688345700567441</v>
      </c>
      <c r="P134" s="454">
        <f>0.19/1.205</f>
        <v>0.15767634854771784</v>
      </c>
      <c r="AA134" s="294">
        <v>0.17</v>
      </c>
      <c r="AB134" s="274">
        <f t="shared" si="11"/>
        <v>0</v>
      </c>
      <c r="AC134" s="274"/>
      <c r="AD134" s="274"/>
      <c r="AE134" s="274"/>
      <c r="AF134" s="295"/>
      <c r="AG134" s="295"/>
      <c r="AH134" s="296">
        <v>0.105</v>
      </c>
      <c r="AI134" s="296">
        <f t="shared" si="12"/>
        <v>0</v>
      </c>
      <c r="AJ134" s="296">
        <f>AI134*$L$437</f>
        <v>0</v>
      </c>
      <c r="AK134" s="297">
        <f t="shared" si="14"/>
        <v>0</v>
      </c>
    </row>
    <row r="135" spans="1:37" s="293" customFormat="1">
      <c r="A135" s="395" t="s">
        <v>58</v>
      </c>
      <c r="B135" s="536">
        <v>0</v>
      </c>
      <c r="C135" s="428" t="s">
        <v>1707</v>
      </c>
      <c r="D135" s="828" t="s">
        <v>37</v>
      </c>
      <c r="E135" s="428"/>
      <c r="F135" s="484"/>
      <c r="G135" s="431"/>
      <c r="H135" s="331">
        <v>0</v>
      </c>
      <c r="I135" s="331">
        <v>0</v>
      </c>
      <c r="J135" s="428" t="s">
        <v>1707</v>
      </c>
      <c r="K135" s="907">
        <v>11790</v>
      </c>
      <c r="L135" s="908">
        <f t="shared" si="9"/>
        <v>0</v>
      </c>
      <c r="M135" s="908">
        <f t="shared" si="10"/>
        <v>0</v>
      </c>
      <c r="N135" s="329">
        <v>2.16</v>
      </c>
      <c r="O135" s="329">
        <f>1.05/2.291</f>
        <v>0.45831514622435621</v>
      </c>
      <c r="P135" s="454">
        <f>0.16/1.205</f>
        <v>0.13278008298755187</v>
      </c>
      <c r="AA135" s="294">
        <v>0.18</v>
      </c>
      <c r="AB135" s="274">
        <f t="shared" si="11"/>
        <v>0</v>
      </c>
      <c r="AC135" s="274"/>
      <c r="AD135" s="275" t="s">
        <v>1568</v>
      </c>
      <c r="AE135" s="274"/>
      <c r="AF135" s="295"/>
      <c r="AG135" s="295"/>
      <c r="AH135" s="296">
        <v>0.105</v>
      </c>
      <c r="AI135" s="296">
        <f t="shared" si="12"/>
        <v>0</v>
      </c>
      <c r="AJ135" s="296">
        <f>AI135*$L$437</f>
        <v>0</v>
      </c>
      <c r="AK135" s="297">
        <f t="shared" si="14"/>
        <v>0</v>
      </c>
    </row>
    <row r="136" spans="1:37" s="293" customFormat="1">
      <c r="A136" s="395" t="s">
        <v>59</v>
      </c>
      <c r="B136" s="536">
        <v>0</v>
      </c>
      <c r="C136" s="428" t="s">
        <v>1707</v>
      </c>
      <c r="D136" s="828" t="s">
        <v>37</v>
      </c>
      <c r="E136" s="428"/>
      <c r="F136" s="484"/>
      <c r="G136" s="431"/>
      <c r="H136" s="331">
        <v>0</v>
      </c>
      <c r="I136" s="331">
        <v>0</v>
      </c>
      <c r="J136" s="428" t="s">
        <v>1707</v>
      </c>
      <c r="K136" s="907">
        <v>11790</v>
      </c>
      <c r="L136" s="908">
        <f t="shared" si="9"/>
        <v>0</v>
      </c>
      <c r="M136" s="908">
        <f t="shared" si="10"/>
        <v>0</v>
      </c>
      <c r="N136" s="329">
        <v>6</v>
      </c>
      <c r="O136" s="329">
        <f>2.92/2.291</f>
        <v>1.274552597119162</v>
      </c>
      <c r="P136" s="454">
        <f>0.45/1.205</f>
        <v>0.37344398340248963</v>
      </c>
      <c r="AA136" s="298">
        <v>0.35</v>
      </c>
      <c r="AB136" s="274">
        <f t="shared" si="11"/>
        <v>0</v>
      </c>
      <c r="AC136" s="274"/>
      <c r="AD136" s="274">
        <f>SUM(AB130:AB136)</f>
        <v>0</v>
      </c>
      <c r="AE136" s="274"/>
      <c r="AF136" s="295"/>
      <c r="AG136" s="295"/>
      <c r="AH136" s="296">
        <v>0.25</v>
      </c>
      <c r="AI136" s="296">
        <f t="shared" si="12"/>
        <v>0</v>
      </c>
      <c r="AJ136" s="296">
        <f t="shared" ref="AJ136:AJ142" si="15">AI136*$L$435</f>
        <v>0</v>
      </c>
      <c r="AK136" s="297">
        <f t="shared" si="14"/>
        <v>0</v>
      </c>
    </row>
    <row r="137" spans="1:37" s="293" customFormat="1">
      <c r="A137" s="395" t="s">
        <v>60</v>
      </c>
      <c r="B137" s="536">
        <v>0</v>
      </c>
      <c r="C137" s="428" t="s">
        <v>1707</v>
      </c>
      <c r="D137" s="828" t="s">
        <v>37</v>
      </c>
      <c r="E137" s="428"/>
      <c r="F137" s="484"/>
      <c r="G137" s="431"/>
      <c r="H137" s="331">
        <v>0</v>
      </c>
      <c r="I137" s="331">
        <v>0</v>
      </c>
      <c r="J137" s="428" t="s">
        <v>1707</v>
      </c>
      <c r="K137" s="907">
        <v>7890</v>
      </c>
      <c r="L137" s="908">
        <f t="shared" si="9"/>
        <v>0</v>
      </c>
      <c r="M137" s="908">
        <f t="shared" si="10"/>
        <v>0</v>
      </c>
      <c r="N137" s="329">
        <v>4.2999999999999999E-4</v>
      </c>
      <c r="O137" s="329">
        <f>0.00044/2.291</f>
        <v>1.9205587079877784E-4</v>
      </c>
      <c r="P137" s="454">
        <f>0.00011/1.205</f>
        <v>9.1286307053941904E-5</v>
      </c>
      <c r="AA137" s="298">
        <v>3.0000000000000001E-3</v>
      </c>
      <c r="AB137" s="274">
        <f t="shared" si="11"/>
        <v>0</v>
      </c>
      <c r="AC137" s="274"/>
      <c r="AD137" s="274"/>
      <c r="AE137" s="274"/>
      <c r="AF137" s="295"/>
      <c r="AG137" s="295"/>
      <c r="AH137" s="296">
        <v>4.2000000000000002E-4</v>
      </c>
      <c r="AI137" s="296">
        <f t="shared" si="12"/>
        <v>0</v>
      </c>
      <c r="AJ137" s="296">
        <f t="shared" si="15"/>
        <v>0</v>
      </c>
      <c r="AK137" s="297">
        <f t="shared" si="14"/>
        <v>0</v>
      </c>
    </row>
    <row r="138" spans="1:37" s="293" customFormat="1">
      <c r="A138" s="395" t="s">
        <v>164</v>
      </c>
      <c r="B138" s="537">
        <v>0</v>
      </c>
      <c r="C138" s="428" t="s">
        <v>1707</v>
      </c>
      <c r="D138" s="828" t="s">
        <v>37</v>
      </c>
      <c r="E138" s="428"/>
      <c r="F138" s="484"/>
      <c r="G138" s="431"/>
      <c r="H138" s="331">
        <v>0</v>
      </c>
      <c r="I138" s="331">
        <v>0</v>
      </c>
      <c r="J138" s="428" t="s">
        <v>1707</v>
      </c>
      <c r="K138" s="907">
        <v>7890</v>
      </c>
      <c r="L138" s="908">
        <f t="shared" si="9"/>
        <v>0</v>
      </c>
      <c r="M138" s="908">
        <f t="shared" si="10"/>
        <v>0</v>
      </c>
      <c r="N138" s="329">
        <v>4.8000000000000001E-2</v>
      </c>
      <c r="O138" s="329">
        <f>0.027/2.291</f>
        <v>1.178524661719773E-2</v>
      </c>
      <c r="P138" s="454">
        <f>0.006/1.205</f>
        <v>4.9792531120331947E-3</v>
      </c>
      <c r="AA138" s="298">
        <v>1.7000000000000001E-2</v>
      </c>
      <c r="AB138" s="274">
        <f t="shared" si="11"/>
        <v>0</v>
      </c>
      <c r="AC138" s="274"/>
      <c r="AD138" s="275" t="s">
        <v>1569</v>
      </c>
      <c r="AE138" s="274"/>
      <c r="AF138" s="295"/>
      <c r="AG138" s="295"/>
      <c r="AH138" s="296">
        <v>2.1999999999999999E-2</v>
      </c>
      <c r="AI138" s="296">
        <f t="shared" si="12"/>
        <v>0</v>
      </c>
      <c r="AJ138" s="296">
        <f t="shared" si="15"/>
        <v>0</v>
      </c>
      <c r="AK138" s="297">
        <f t="shared" si="14"/>
        <v>0</v>
      </c>
    </row>
    <row r="139" spans="1:37" s="293" customFormat="1">
      <c r="A139" s="395" t="s">
        <v>61</v>
      </c>
      <c r="B139" s="536">
        <v>0</v>
      </c>
      <c r="C139" s="428" t="s">
        <v>1707</v>
      </c>
      <c r="D139" s="828" t="s">
        <v>37</v>
      </c>
      <c r="E139" s="428"/>
      <c r="F139" s="484"/>
      <c r="G139" s="431"/>
      <c r="H139" s="331">
        <v>0</v>
      </c>
      <c r="I139" s="331">
        <v>0</v>
      </c>
      <c r="J139" s="428" t="s">
        <v>1707</v>
      </c>
      <c r="K139" s="907">
        <v>7890</v>
      </c>
      <c r="L139" s="908">
        <f t="shared" si="9"/>
        <v>0</v>
      </c>
      <c r="M139" s="908">
        <f t="shared" si="10"/>
        <v>0</v>
      </c>
      <c r="N139" s="329">
        <v>6.4000000000000001E-2</v>
      </c>
      <c r="O139" s="329">
        <f>0.023/2.291</f>
        <v>1.0039284155390659E-2</v>
      </c>
      <c r="P139" s="454">
        <f>0.006/1.205</f>
        <v>4.9792531120331947E-3</v>
      </c>
      <c r="AA139" s="298">
        <v>1.6999999999999999E-3</v>
      </c>
      <c r="AB139" s="274">
        <f t="shared" si="11"/>
        <v>0</v>
      </c>
      <c r="AC139" s="274"/>
      <c r="AD139" s="274">
        <f>SUM(AB137,AB140:AB141)</f>
        <v>0</v>
      </c>
      <c r="AE139" s="274"/>
      <c r="AF139" s="295"/>
      <c r="AG139" s="295"/>
      <c r="AH139" s="296">
        <v>2.1999999999999999E-2</v>
      </c>
      <c r="AI139" s="296">
        <f t="shared" si="12"/>
        <v>0</v>
      </c>
      <c r="AJ139" s="296">
        <f t="shared" si="15"/>
        <v>0</v>
      </c>
      <c r="AK139" s="297">
        <f t="shared" si="14"/>
        <v>0</v>
      </c>
    </row>
    <row r="140" spans="1:37" s="293" customFormat="1">
      <c r="A140" s="395" t="s">
        <v>62</v>
      </c>
      <c r="B140" s="536">
        <v>0</v>
      </c>
      <c r="C140" s="428" t="s">
        <v>1707</v>
      </c>
      <c r="D140" s="828" t="s">
        <v>37</v>
      </c>
      <c r="E140" s="428"/>
      <c r="F140" s="484"/>
      <c r="G140" s="431"/>
      <c r="H140" s="331">
        <v>0</v>
      </c>
      <c r="I140" s="331">
        <v>0</v>
      </c>
      <c r="J140" s="428" t="s">
        <v>1707</v>
      </c>
      <c r="K140" s="907">
        <v>8690</v>
      </c>
      <c r="L140" s="908">
        <f t="shared" si="9"/>
        <v>0</v>
      </c>
      <c r="M140" s="908">
        <f t="shared" si="10"/>
        <v>0</v>
      </c>
      <c r="N140" s="329">
        <v>0.13800000000000001</v>
      </c>
      <c r="O140" s="329">
        <f>0.138/2.291</f>
        <v>6.023570493234396E-2</v>
      </c>
      <c r="P140" s="454">
        <f>0.035/1.205</f>
        <v>2.9045643153526972E-2</v>
      </c>
      <c r="AA140" s="298">
        <v>5.0000000000000001E-3</v>
      </c>
      <c r="AB140" s="274">
        <f t="shared" si="11"/>
        <v>0</v>
      </c>
      <c r="AC140" s="274"/>
      <c r="AD140" s="274"/>
      <c r="AE140" s="274"/>
      <c r="AF140" s="295"/>
      <c r="AG140" s="295"/>
      <c r="AH140" s="296">
        <v>1.35E-2</v>
      </c>
      <c r="AI140" s="296">
        <f t="shared" si="12"/>
        <v>0</v>
      </c>
      <c r="AJ140" s="296">
        <f t="shared" si="15"/>
        <v>0</v>
      </c>
      <c r="AK140" s="297">
        <f t="shared" si="14"/>
        <v>0</v>
      </c>
    </row>
    <row r="141" spans="1:37" s="293" customFormat="1">
      <c r="A141" s="395" t="s">
        <v>63</v>
      </c>
      <c r="B141" s="536">
        <v>0</v>
      </c>
      <c r="C141" s="428" t="s">
        <v>1707</v>
      </c>
      <c r="D141" s="828" t="s">
        <v>37</v>
      </c>
      <c r="E141" s="428"/>
      <c r="F141" s="484"/>
      <c r="G141" s="431"/>
      <c r="H141" s="331">
        <v>0</v>
      </c>
      <c r="I141" s="331">
        <v>0</v>
      </c>
      <c r="J141" s="428" t="s">
        <v>1707</v>
      </c>
      <c r="K141" s="907">
        <v>8690</v>
      </c>
      <c r="L141" s="908">
        <f t="shared" si="9"/>
        <v>0</v>
      </c>
      <c r="M141" s="908">
        <f t="shared" si="10"/>
        <v>0</v>
      </c>
      <c r="N141" s="329">
        <v>6.6000000000000003E-2</v>
      </c>
      <c r="O141" s="329">
        <f>0.068/2.291</f>
        <v>2.9681361850720213E-2</v>
      </c>
      <c r="P141" s="454">
        <f>0.017/1.205</f>
        <v>1.4107883817427386E-2</v>
      </c>
      <c r="AA141" s="298">
        <v>5.0000000000000001E-3</v>
      </c>
      <c r="AB141" s="274">
        <f t="shared" si="11"/>
        <v>0</v>
      </c>
      <c r="AC141" s="274"/>
      <c r="AD141" s="275" t="s">
        <v>1570</v>
      </c>
      <c r="AE141" s="274"/>
      <c r="AF141" s="295"/>
      <c r="AG141" s="295"/>
      <c r="AH141" s="296">
        <v>6.4999999999999997E-3</v>
      </c>
      <c r="AI141" s="296">
        <f t="shared" si="12"/>
        <v>0</v>
      </c>
      <c r="AJ141" s="296">
        <f t="shared" si="15"/>
        <v>0</v>
      </c>
      <c r="AK141" s="297">
        <f t="shared" si="14"/>
        <v>0</v>
      </c>
    </row>
    <row r="142" spans="1:37" s="293" customFormat="1">
      <c r="A142" s="395" t="s">
        <v>64</v>
      </c>
      <c r="B142" s="536">
        <v>0</v>
      </c>
      <c r="C142" s="428" t="s">
        <v>1707</v>
      </c>
      <c r="D142" s="828" t="s">
        <v>37</v>
      </c>
      <c r="E142" s="428"/>
      <c r="F142" s="484"/>
      <c r="G142" s="431"/>
      <c r="H142" s="331">
        <v>0</v>
      </c>
      <c r="I142" s="331">
        <v>0</v>
      </c>
      <c r="J142" s="428" t="s">
        <v>1707</v>
      </c>
      <c r="K142" s="907">
        <v>13160</v>
      </c>
      <c r="L142" s="908">
        <f t="shared" si="9"/>
        <v>0</v>
      </c>
      <c r="M142" s="908">
        <f t="shared" si="10"/>
        <v>0</v>
      </c>
      <c r="N142" s="329">
        <v>3.5000000000000003E-2</v>
      </c>
      <c r="O142" s="329">
        <f>0.036/2.291</f>
        <v>1.5713662156263641E-2</v>
      </c>
      <c r="P142" s="454">
        <f>0.009/1.205</f>
        <v>7.4688796680497911E-3</v>
      </c>
      <c r="AA142" s="298">
        <v>3.0000000000000001E-3</v>
      </c>
      <c r="AB142" s="274">
        <f t="shared" si="11"/>
        <v>0</v>
      </c>
      <c r="AC142" s="274"/>
      <c r="AD142" s="274">
        <f>SUM(AB138,AB142)</f>
        <v>0</v>
      </c>
      <c r="AE142" s="274"/>
      <c r="AF142" s="295"/>
      <c r="AG142" s="295"/>
      <c r="AH142" s="296">
        <v>3.3999999999999998E-3</v>
      </c>
      <c r="AI142" s="296">
        <f t="shared" si="12"/>
        <v>0</v>
      </c>
      <c r="AJ142" s="296">
        <f t="shared" si="15"/>
        <v>0</v>
      </c>
      <c r="AK142" s="297">
        <f t="shared" si="14"/>
        <v>0</v>
      </c>
    </row>
    <row r="143" spans="1:37" s="293" customFormat="1">
      <c r="A143" s="395" t="s">
        <v>65</v>
      </c>
      <c r="B143" s="536">
        <v>0</v>
      </c>
      <c r="C143" s="428" t="s">
        <v>1707</v>
      </c>
      <c r="D143" s="828" t="s">
        <v>37</v>
      </c>
      <c r="E143" s="428"/>
      <c r="F143" s="484"/>
      <c r="G143" s="431"/>
      <c r="H143" s="331">
        <v>0</v>
      </c>
      <c r="I143" s="331">
        <v>0</v>
      </c>
      <c r="J143" s="428" t="s">
        <v>1707</v>
      </c>
      <c r="K143" s="907">
        <v>14640</v>
      </c>
      <c r="L143" s="908">
        <f t="shared" si="9"/>
        <v>0</v>
      </c>
      <c r="M143" s="908">
        <f t="shared" si="10"/>
        <v>0</v>
      </c>
      <c r="N143" s="329">
        <v>10</v>
      </c>
      <c r="O143" s="329">
        <f>7.34/2.291</f>
        <v>3.2038411174159758</v>
      </c>
      <c r="P143" s="454">
        <f>1.04/1.205</f>
        <v>0.86307053941908707</v>
      </c>
      <c r="AA143" s="294">
        <v>0.8</v>
      </c>
      <c r="AB143" s="274">
        <f t="shared" si="11"/>
        <v>0</v>
      </c>
      <c r="AC143" s="274"/>
      <c r="AD143" s="274"/>
      <c r="AE143" s="274"/>
      <c r="AF143" s="295"/>
      <c r="AG143" s="295"/>
      <c r="AH143" s="296">
        <f>0.4</f>
        <v>0.4</v>
      </c>
      <c r="AI143" s="296">
        <f t="shared" si="12"/>
        <v>0</v>
      </c>
      <c r="AJ143" s="296">
        <f>AI143*$L$431</f>
        <v>0</v>
      </c>
      <c r="AK143" s="297">
        <f t="shared" si="14"/>
        <v>0</v>
      </c>
    </row>
    <row r="144" spans="1:37" s="293" customFormat="1">
      <c r="A144" s="395" t="s">
        <v>66</v>
      </c>
      <c r="B144" s="536">
        <v>0</v>
      </c>
      <c r="C144" s="428" t="s">
        <v>1707</v>
      </c>
      <c r="D144" s="828" t="s">
        <v>37</v>
      </c>
      <c r="E144" s="428"/>
      <c r="F144" s="484"/>
      <c r="G144" s="431"/>
      <c r="H144" s="331">
        <v>0</v>
      </c>
      <c r="I144" s="331">
        <v>0</v>
      </c>
      <c r="J144" s="428" t="s">
        <v>1707</v>
      </c>
      <c r="K144" s="907">
        <f>AVERAGE(K113:K143)</f>
        <v>12328.387096774193</v>
      </c>
      <c r="L144" s="908">
        <f t="shared" si="9"/>
        <v>0</v>
      </c>
      <c r="M144" s="908">
        <f t="shared" si="10"/>
        <v>0</v>
      </c>
      <c r="N144" s="329">
        <f>AVERAGE(N113:N143)</f>
        <v>5.8558525806451609</v>
      </c>
      <c r="O144" s="329">
        <f>AVERAGE(O113:O143)</f>
        <v>1.7492352966024136</v>
      </c>
      <c r="P144" s="454">
        <f>AVERAGE(P113:P143)</f>
        <v>0.4752539151385356</v>
      </c>
      <c r="AA144" s="294">
        <f>AVERAGE(AA113,AA120,AA126)</f>
        <v>0.60666666666666669</v>
      </c>
      <c r="AB144" s="274">
        <f t="shared" si="11"/>
        <v>0</v>
      </c>
      <c r="AC144" s="274"/>
      <c r="AD144" s="274"/>
      <c r="AE144" s="274"/>
      <c r="AF144" s="295"/>
      <c r="AG144" s="295"/>
      <c r="AH144" s="296">
        <f>AVERAGE(AH113:AH143)</f>
        <v>0.21880064516129033</v>
      </c>
      <c r="AI144" s="296">
        <f t="shared" si="12"/>
        <v>0</v>
      </c>
      <c r="AJ144" s="296">
        <f>AI144*$L$431</f>
        <v>0</v>
      </c>
      <c r="AK144" s="297">
        <f>AI144*K144</f>
        <v>0</v>
      </c>
    </row>
    <row r="145" spans="1:37" ht="15.75" thickBot="1">
      <c r="A145" s="500"/>
      <c r="B145" s="439"/>
      <c r="C145" s="1049"/>
      <c r="D145" s="1049"/>
      <c r="E145" s="1049"/>
      <c r="F145" s="1049"/>
      <c r="G145" s="538"/>
      <c r="H145" s="539"/>
      <c r="I145" s="539"/>
      <c r="J145" s="487"/>
      <c r="K145" s="465"/>
      <c r="L145" s="551"/>
      <c r="M145" s="551"/>
      <c r="N145" s="466"/>
      <c r="O145" s="466"/>
      <c r="P145" s="552"/>
      <c r="Q145" s="25"/>
      <c r="R145" s="25"/>
      <c r="S145" s="25"/>
      <c r="T145" s="25"/>
      <c r="U145" s="25"/>
      <c r="AA145" s="273"/>
      <c r="AB145" s="273"/>
      <c r="AC145" s="273"/>
      <c r="AD145" s="273"/>
      <c r="AE145" s="273"/>
      <c r="AF145" s="73"/>
      <c r="AG145" s="73"/>
      <c r="AH145" s="82"/>
      <c r="AI145" s="83"/>
      <c r="AJ145" s="83"/>
      <c r="AK145" s="277"/>
    </row>
    <row r="146" spans="1:37" ht="28.5" customHeight="1" thickBot="1">
      <c r="A146" s="540" t="s">
        <v>152</v>
      </c>
      <c r="B146" s="523"/>
      <c r="C146" s="523"/>
      <c r="D146" s="902" t="s">
        <v>1391</v>
      </c>
      <c r="E146" s="523"/>
      <c r="F146" s="523"/>
      <c r="G146" s="523"/>
      <c r="H146" s="523" t="s">
        <v>1663</v>
      </c>
      <c r="I146" s="523" t="s">
        <v>1664</v>
      </c>
      <c r="J146" s="523"/>
      <c r="K146" s="449" t="s">
        <v>1654</v>
      </c>
      <c r="L146" s="450" t="s">
        <v>391</v>
      </c>
      <c r="M146" s="450" t="s">
        <v>249</v>
      </c>
      <c r="N146" s="451" t="s">
        <v>397</v>
      </c>
      <c r="O146" s="451" t="s">
        <v>398</v>
      </c>
      <c r="P146" s="452" t="s">
        <v>399</v>
      </c>
      <c r="Q146" s="25"/>
      <c r="R146" s="25"/>
      <c r="S146" s="25"/>
      <c r="T146" s="25"/>
      <c r="U146" s="25"/>
      <c r="AA146" s="273"/>
      <c r="AB146" s="273" t="s">
        <v>138</v>
      </c>
      <c r="AC146" s="273"/>
      <c r="AD146" s="276" t="e">
        <f>AD119/SUM($AD$142,$AD$139,$AD$136,$AD$129,$AD$125,$AD$119)</f>
        <v>#DIV/0!</v>
      </c>
      <c r="AE146" s="273" t="s">
        <v>138</v>
      </c>
      <c r="AF146" s="73"/>
      <c r="AG146" s="73"/>
      <c r="AH146" s="82"/>
      <c r="AI146" s="83"/>
      <c r="AJ146" s="74"/>
      <c r="AK146" s="277"/>
    </row>
    <row r="147" spans="1:37">
      <c r="A147" s="395" t="s">
        <v>163</v>
      </c>
      <c r="B147" s="307"/>
      <c r="C147" s="307"/>
      <c r="D147" s="828" t="s">
        <v>37</v>
      </c>
      <c r="E147" s="307"/>
      <c r="F147" s="307"/>
      <c r="G147" s="431" t="s">
        <v>1661</v>
      </c>
      <c r="H147" s="541">
        <v>0</v>
      </c>
      <c r="I147" s="541">
        <v>0</v>
      </c>
      <c r="J147" s="431" t="s">
        <v>1661</v>
      </c>
      <c r="K147" s="912">
        <v>3.88</v>
      </c>
      <c r="L147" s="334">
        <f>(H147*AH147)*K147</f>
        <v>0</v>
      </c>
      <c r="M147" s="334">
        <f>(I147*AH147)*K147</f>
        <v>0</v>
      </c>
      <c r="N147" s="326">
        <v>1.2E-2</v>
      </c>
      <c r="O147" s="326">
        <f>0.000804</f>
        <v>8.0400000000000003E-4</v>
      </c>
      <c r="P147" s="455">
        <f>0.001236</f>
        <v>1.2359999999999999E-3</v>
      </c>
      <c r="Q147" s="25"/>
      <c r="R147" s="25"/>
      <c r="S147" s="25"/>
      <c r="T147" s="25"/>
      <c r="U147" s="25"/>
      <c r="AA147" s="273"/>
      <c r="AB147" s="273" t="s">
        <v>1571</v>
      </c>
      <c r="AC147" s="273"/>
      <c r="AD147" s="276" t="e">
        <f>AD125/SUM($AD$142,$AD$139,$AD$136,$AD$129,$AD$125,$AD$119)</f>
        <v>#DIV/0!</v>
      </c>
      <c r="AE147" s="273" t="s">
        <v>1571</v>
      </c>
      <c r="AF147" s="73"/>
      <c r="AG147" s="73"/>
      <c r="AH147" s="83">
        <v>7.7999999999999999E-4</v>
      </c>
      <c r="AI147" s="83">
        <f>AH147*I147</f>
        <v>0</v>
      </c>
      <c r="AJ147" s="81">
        <f>AI147</f>
        <v>0</v>
      </c>
      <c r="AK147" s="277">
        <f>AI147*K147</f>
        <v>0</v>
      </c>
    </row>
    <row r="148" spans="1:37" s="377" customFormat="1">
      <c r="A148" s="542" t="s">
        <v>173</v>
      </c>
      <c r="B148" s="526"/>
      <c r="C148" s="526"/>
      <c r="D148" s="835" t="s">
        <v>37</v>
      </c>
      <c r="E148" s="527"/>
      <c r="F148" s="527"/>
      <c r="G148" s="543" t="s">
        <v>1662</v>
      </c>
      <c r="H148" s="544">
        <v>0</v>
      </c>
      <c r="I148" s="545">
        <v>0</v>
      </c>
      <c r="J148" s="547" t="s">
        <v>1662</v>
      </c>
      <c r="K148" s="913">
        <v>1820</v>
      </c>
      <c r="L148" s="914">
        <f>(H148*AH148)*K148</f>
        <v>0</v>
      </c>
      <c r="M148" s="914">
        <f>(I148*AH148)*K148</f>
        <v>0</v>
      </c>
      <c r="N148" s="548">
        <v>5.45</v>
      </c>
      <c r="O148" s="549">
        <f>0.95</f>
        <v>0.95</v>
      </c>
      <c r="P148" s="550">
        <f>1.5</f>
        <v>1.5</v>
      </c>
      <c r="AA148" s="381"/>
      <c r="AB148" s="381" t="s">
        <v>1572</v>
      </c>
      <c r="AC148" s="381"/>
      <c r="AD148" s="382" t="e">
        <f>AD129/SUM($AD$142,$AD$139,$AD$136,$AD$129,$AD$125,$AD$119)</f>
        <v>#DIV/0!</v>
      </c>
      <c r="AE148" s="381" t="s">
        <v>1572</v>
      </c>
      <c r="AF148" s="383"/>
      <c r="AG148" s="383"/>
      <c r="AH148" s="384">
        <v>1</v>
      </c>
      <c r="AI148" s="384">
        <f>AH148*I148</f>
        <v>0</v>
      </c>
      <c r="AJ148" s="385">
        <f>AI148</f>
        <v>0</v>
      </c>
      <c r="AK148" s="386">
        <f>AI148*K148</f>
        <v>0</v>
      </c>
    </row>
    <row r="149" spans="1:37" ht="15.75" thickBot="1">
      <c r="A149" s="434" t="s">
        <v>408</v>
      </c>
      <c r="B149" s="436"/>
      <c r="C149" s="436"/>
      <c r="D149" s="836" t="s">
        <v>37</v>
      </c>
      <c r="E149" s="436"/>
      <c r="F149" s="436"/>
      <c r="G149" s="438" t="s">
        <v>1398</v>
      </c>
      <c r="H149" s="546">
        <v>0</v>
      </c>
      <c r="I149" s="546">
        <v>0</v>
      </c>
      <c r="J149" s="438" t="s">
        <v>1398</v>
      </c>
      <c r="K149" s="915">
        <v>13490</v>
      </c>
      <c r="L149" s="916">
        <f>H149*K149</f>
        <v>0</v>
      </c>
      <c r="M149" s="916">
        <f>I149*K149</f>
        <v>0</v>
      </c>
      <c r="N149" s="466">
        <v>146</v>
      </c>
      <c r="O149" s="466">
        <f>1.45</f>
        <v>1.45</v>
      </c>
      <c r="P149" s="467">
        <f>1.6</f>
        <v>1.6</v>
      </c>
      <c r="Q149" s="25"/>
      <c r="R149" s="25"/>
      <c r="S149" s="25"/>
      <c r="T149" s="25"/>
      <c r="U149" s="25"/>
      <c r="AA149" s="273"/>
      <c r="AB149" s="273" t="s">
        <v>147</v>
      </c>
      <c r="AC149" s="273"/>
      <c r="AD149" s="276" t="e">
        <f>AD136/SUM($AD$142,$AD$139,$AD$136,$AD$129,$AD$125,$AD$119)</f>
        <v>#DIV/0!</v>
      </c>
      <c r="AE149" s="273" t="s">
        <v>147</v>
      </c>
      <c r="AF149" s="75"/>
      <c r="AG149" s="75"/>
      <c r="AH149" s="83">
        <v>1</v>
      </c>
      <c r="AI149" s="83">
        <f>AH149*I149</f>
        <v>0</v>
      </c>
      <c r="AJ149" s="81">
        <f>AI149</f>
        <v>0</v>
      </c>
      <c r="AK149" s="277">
        <f>AI149*K149</f>
        <v>0</v>
      </c>
    </row>
    <row r="150" spans="1:37" ht="15.75" thickBot="1">
      <c r="A150" s="399"/>
      <c r="B150" s="44"/>
      <c r="C150" s="44"/>
      <c r="D150" s="44"/>
      <c r="E150" s="44"/>
      <c r="F150" s="309"/>
      <c r="G150" s="333"/>
      <c r="H150" s="310"/>
      <c r="I150" s="310"/>
      <c r="J150" s="35"/>
      <c r="K150" s="334"/>
      <c r="L150" s="335"/>
      <c r="M150" s="335"/>
      <c r="N150" s="336"/>
      <c r="O150" s="336"/>
      <c r="P150" s="336"/>
      <c r="Q150" s="25"/>
      <c r="R150" s="25"/>
      <c r="S150" s="25"/>
      <c r="T150" s="25"/>
      <c r="U150" s="25"/>
      <c r="AA150" s="273"/>
      <c r="AB150" s="273" t="s">
        <v>250</v>
      </c>
      <c r="AC150" s="273"/>
      <c r="AD150" s="276" t="e">
        <f>AD139/SUM($AD$142,$AD$139,$AD$136,$AD$129,$AD$125,$AD$119)</f>
        <v>#DIV/0!</v>
      </c>
      <c r="AE150" s="273" t="s">
        <v>250</v>
      </c>
      <c r="AF150" s="75"/>
      <c r="AG150" s="75"/>
      <c r="AH150" s="75"/>
      <c r="AI150" s="74"/>
      <c r="AJ150" s="73"/>
      <c r="AK150" s="73"/>
    </row>
    <row r="151" spans="1:37" ht="26.25" thickBot="1">
      <c r="A151" s="412" t="s">
        <v>1786</v>
      </c>
      <c r="B151" s="414" t="s">
        <v>1666</v>
      </c>
      <c r="C151" s="414" t="s">
        <v>1668</v>
      </c>
      <c r="D151" s="415"/>
      <c r="E151" s="414"/>
      <c r="F151" s="416"/>
      <c r="G151" s="417"/>
      <c r="H151" s="415"/>
      <c r="I151" s="414" t="s">
        <v>1801</v>
      </c>
      <c r="J151" s="414"/>
      <c r="K151" s="449" t="s">
        <v>1431</v>
      </c>
      <c r="L151" s="450" t="s">
        <v>391</v>
      </c>
      <c r="M151" s="450" t="s">
        <v>249</v>
      </c>
      <c r="N151" s="451" t="s">
        <v>397</v>
      </c>
      <c r="O151" s="451" t="s">
        <v>398</v>
      </c>
      <c r="P151" s="452" t="s">
        <v>399</v>
      </c>
      <c r="Q151" s="566" t="s">
        <v>1794</v>
      </c>
      <c r="R151" s="451" t="s">
        <v>1795</v>
      </c>
      <c r="S151" s="451" t="s">
        <v>1796</v>
      </c>
      <c r="T151" s="452" t="s">
        <v>1797</v>
      </c>
      <c r="U151" s="25"/>
    </row>
    <row r="152" spans="1:37" customFormat="1" ht="18" customHeight="1">
      <c r="A152" s="426"/>
      <c r="B152" s="470"/>
      <c r="C152" s="425"/>
      <c r="D152" s="474"/>
      <c r="E152" s="425"/>
      <c r="F152" s="468"/>
      <c r="G152" s="421"/>
      <c r="H152" s="35"/>
      <c r="I152" s="35"/>
      <c r="J152" s="420"/>
      <c r="K152" s="562"/>
      <c r="L152" s="563"/>
      <c r="M152" s="563"/>
      <c r="N152" s="563"/>
      <c r="O152" s="564"/>
      <c r="P152" s="565"/>
      <c r="Q152" s="846"/>
      <c r="R152" s="847"/>
      <c r="S152" s="847"/>
      <c r="T152" s="848"/>
    </row>
    <row r="153" spans="1:37" customFormat="1" ht="24.75" customHeight="1">
      <c r="A153" s="426" t="s">
        <v>1798</v>
      </c>
      <c r="B153" s="448">
        <v>0</v>
      </c>
      <c r="C153" s="425" t="s">
        <v>39</v>
      </c>
      <c r="D153" s="1048" t="s">
        <v>1403</v>
      </c>
      <c r="E153" s="1048"/>
      <c r="F153" s="371" t="s">
        <v>1398</v>
      </c>
      <c r="G153" s="330"/>
      <c r="H153" s="330"/>
      <c r="I153" s="35"/>
      <c r="J153" s="420"/>
      <c r="K153" s="458"/>
      <c r="L153" s="459"/>
      <c r="M153" s="459"/>
      <c r="N153" s="459"/>
      <c r="O153" s="328"/>
      <c r="P153" s="457"/>
      <c r="Q153" s="849"/>
      <c r="R153" s="850"/>
      <c r="S153" s="850"/>
      <c r="T153" s="851"/>
    </row>
    <row r="154" spans="1:37" customFormat="1" ht="18" customHeight="1">
      <c r="A154" s="475"/>
      <c r="B154" s="837"/>
      <c r="C154" s="425"/>
      <c r="D154" s="474"/>
      <c r="E154" s="425"/>
      <c r="F154" s="468"/>
      <c r="G154" s="421"/>
      <c r="H154" s="35"/>
      <c r="I154" s="35"/>
      <c r="J154" s="420"/>
      <c r="K154" s="458"/>
      <c r="L154" s="459"/>
      <c r="M154" s="459"/>
      <c r="N154" s="459"/>
      <c r="O154" s="328"/>
      <c r="P154" s="457"/>
      <c r="Q154" s="849"/>
      <c r="R154" s="850"/>
      <c r="S154" s="850"/>
      <c r="T154" s="851"/>
    </row>
    <row r="155" spans="1:37" customFormat="1" ht="18" customHeight="1">
      <c r="A155" s="636" t="s">
        <v>1787</v>
      </c>
      <c r="B155" s="837"/>
      <c r="C155" s="425"/>
      <c r="D155" s="474"/>
      <c r="E155" s="425"/>
      <c r="F155" s="468"/>
      <c r="G155" s="421"/>
      <c r="H155" s="35"/>
      <c r="I155" s="35"/>
      <c r="J155" s="420"/>
      <c r="K155" s="458"/>
      <c r="L155" s="459"/>
      <c r="M155" s="459"/>
      <c r="N155" s="459"/>
      <c r="O155" s="328"/>
      <c r="P155" s="457"/>
      <c r="Q155" s="849"/>
      <c r="R155" s="850"/>
      <c r="S155" s="850"/>
      <c r="T155" s="851"/>
    </row>
    <row r="156" spans="1:37" customFormat="1" ht="15.75">
      <c r="A156" s="637" t="s">
        <v>1699</v>
      </c>
      <c r="B156" s="838">
        <v>0</v>
      </c>
      <c r="C156" s="425" t="s">
        <v>39</v>
      </c>
      <c r="D156" s="425"/>
      <c r="E156" s="425"/>
      <c r="F156" s="468"/>
      <c r="G156" s="421"/>
      <c r="H156" s="423"/>
      <c r="I156" s="424"/>
      <c r="J156" s="420"/>
      <c r="K156" s="458"/>
      <c r="L156" s="459"/>
      <c r="M156" s="459"/>
      <c r="N156" s="459"/>
      <c r="O156" s="328"/>
      <c r="P156" s="457"/>
      <c r="Q156" s="852">
        <f>(IF(B159=$A$203,0.62*B156,0))*$B$215</f>
        <v>0</v>
      </c>
      <c r="R156" s="853">
        <f>(IF(B160=A212,0.7*((1-0.9)*B156),IF(B160=A211,0.7*((1-0.7)*B156),IF(B160=A210,(0.7*(1-0.5)*B156),IF(B160=A209,(0.7*(1-0.3)*B156),IF(B160=A208,(0.7*(1-0.1)*B156),(0.7*B156)))))))*$B$215</f>
        <v>0</v>
      </c>
      <c r="S156" s="850">
        <f>IF(B156=0,0,SUM(Q156:R156))</f>
        <v>0</v>
      </c>
      <c r="T156" s="851">
        <f>S156*3.667</f>
        <v>0</v>
      </c>
    </row>
    <row r="157" spans="1:37" customFormat="1" ht="15" customHeight="1">
      <c r="A157" s="638" t="s">
        <v>1700</v>
      </c>
      <c r="B157" s="839" t="s">
        <v>1377</v>
      </c>
      <c r="C157" s="425" t="s">
        <v>1659</v>
      </c>
      <c r="D157" s="425"/>
      <c r="E157" s="425"/>
      <c r="F157" s="468"/>
      <c r="G157" s="421"/>
      <c r="H157" s="423"/>
      <c r="I157" s="424"/>
      <c r="J157" s="420"/>
      <c r="K157" s="458"/>
      <c r="L157" s="459"/>
      <c r="M157" s="459"/>
      <c r="N157" s="459"/>
      <c r="O157" s="328"/>
      <c r="P157" s="457"/>
      <c r="Q157" s="852"/>
      <c r="R157" s="853"/>
      <c r="S157" s="850"/>
      <c r="T157" s="851"/>
    </row>
    <row r="158" spans="1:37" customFormat="1" ht="15" customHeight="1">
      <c r="A158" s="638" t="s">
        <v>1409</v>
      </c>
      <c r="B158" s="839" t="s">
        <v>1408</v>
      </c>
      <c r="C158" s="425"/>
      <c r="D158" s="425"/>
      <c r="E158" s="425"/>
      <c r="F158" s="468"/>
      <c r="G158" s="421"/>
      <c r="H158" s="423"/>
      <c r="I158" s="424"/>
      <c r="J158" s="420"/>
      <c r="K158" s="458"/>
      <c r="L158" s="459"/>
      <c r="M158" s="459"/>
      <c r="N158" s="459"/>
      <c r="O158" s="328"/>
      <c r="P158" s="457"/>
      <c r="Q158" s="852"/>
      <c r="R158" s="853"/>
      <c r="S158" s="850"/>
      <c r="T158" s="851"/>
    </row>
    <row r="159" spans="1:37" customFormat="1" ht="15" customHeight="1">
      <c r="A159" s="638" t="s">
        <v>1379</v>
      </c>
      <c r="B159" s="840" t="s">
        <v>136</v>
      </c>
      <c r="C159" s="425"/>
      <c r="D159" s="425"/>
      <c r="E159" s="425"/>
      <c r="F159" s="468"/>
      <c r="G159" s="421"/>
      <c r="H159" s="35"/>
      <c r="I159" s="35"/>
      <c r="J159" s="420"/>
      <c r="K159" s="917"/>
      <c r="L159" s="918"/>
      <c r="M159" s="918"/>
      <c r="N159" s="459"/>
      <c r="O159" s="328"/>
      <c r="P159" s="457"/>
      <c r="Q159" s="852"/>
      <c r="R159" s="853"/>
      <c r="S159" s="850"/>
      <c r="T159" s="851"/>
    </row>
    <row r="160" spans="1:37" customFormat="1" ht="15" customHeight="1">
      <c r="A160" s="638" t="s">
        <v>1701</v>
      </c>
      <c r="B160" s="841">
        <v>0</v>
      </c>
      <c r="C160" s="425"/>
      <c r="D160" s="425"/>
      <c r="E160" s="425"/>
      <c r="F160" s="468"/>
      <c r="G160" s="421"/>
      <c r="H160" s="476" t="s">
        <v>1354</v>
      </c>
      <c r="I160" s="477">
        <v>0</v>
      </c>
      <c r="J160" s="420" t="str">
        <f>F153</f>
        <v>tonnes</v>
      </c>
      <c r="K160" s="919">
        <f>IF(J160="M3",12700/1.84,12700)</f>
        <v>12700</v>
      </c>
      <c r="L160" s="908"/>
      <c r="M160" s="908">
        <f>K160*I160</f>
        <v>0</v>
      </c>
      <c r="N160" s="459"/>
      <c r="O160" s="328"/>
      <c r="P160" s="457"/>
      <c r="Q160" s="852"/>
      <c r="R160" s="853"/>
      <c r="S160" s="850"/>
      <c r="T160" s="851"/>
    </row>
    <row r="161" spans="1:20" customFormat="1" ht="15" customHeight="1">
      <c r="A161" s="638"/>
      <c r="B161" s="842"/>
      <c r="C161" s="425"/>
      <c r="D161" s="425"/>
      <c r="E161" s="425"/>
      <c r="F161" s="468"/>
      <c r="G161" s="421"/>
      <c r="H161" s="423"/>
      <c r="I161" s="832"/>
      <c r="J161" s="420"/>
      <c r="K161" s="917"/>
      <c r="L161" s="918"/>
      <c r="M161" s="918"/>
      <c r="N161" s="459"/>
      <c r="O161" s="328"/>
      <c r="P161" s="457"/>
      <c r="Q161" s="852"/>
      <c r="R161" s="853"/>
      <c r="S161" s="850"/>
      <c r="T161" s="851"/>
    </row>
    <row r="162" spans="1:20" customFormat="1" ht="15.75">
      <c r="A162" s="637" t="s">
        <v>1790</v>
      </c>
      <c r="B162" s="838">
        <v>0</v>
      </c>
      <c r="C162" s="425" t="s">
        <v>39</v>
      </c>
      <c r="D162" s="425"/>
      <c r="E162" s="425"/>
      <c r="F162" s="468"/>
      <c r="G162" s="421"/>
      <c r="H162" s="423"/>
      <c r="I162" s="832"/>
      <c r="J162" s="420"/>
      <c r="K162" s="917"/>
      <c r="L162" s="918"/>
      <c r="M162" s="918"/>
      <c r="N162" s="459"/>
      <c r="O162" s="328"/>
      <c r="P162" s="457"/>
      <c r="Q162" s="852">
        <f>(IF(B165=$A$203,0.62*B162,0))*$B$222</f>
        <v>0</v>
      </c>
      <c r="R162" s="853">
        <f>(IF(B166=A205,0.7*((1-0.9)*B162),IF(B166=A204,0.7*((1-0.7)*B162),IF(B166=A203,(0.7*(1-0.5)*B162),IF(B166=A202,(0.7*(1-0.3)*B162),IF(B166=A201,(0.7*(1-0.1)*B162),(0.7*B162)))))))*$B$222</f>
        <v>0</v>
      </c>
      <c r="S162" s="850">
        <f>IF(B162=0,0,SUM(Q162:R162))</f>
        <v>0</v>
      </c>
      <c r="T162" s="851">
        <f>S162*3.667</f>
        <v>0</v>
      </c>
    </row>
    <row r="163" spans="1:20" customFormat="1" ht="15" customHeight="1">
      <c r="A163" s="638" t="s">
        <v>1700</v>
      </c>
      <c r="B163" s="839" t="s">
        <v>1377</v>
      </c>
      <c r="C163" s="425" t="s">
        <v>1659</v>
      </c>
      <c r="D163" s="425"/>
      <c r="E163" s="425"/>
      <c r="F163" s="468"/>
      <c r="G163" s="421"/>
      <c r="H163" s="423"/>
      <c r="I163" s="832"/>
      <c r="J163" s="420"/>
      <c r="K163" s="917"/>
      <c r="L163" s="918"/>
      <c r="M163" s="918"/>
      <c r="N163" s="459"/>
      <c r="O163" s="328"/>
      <c r="P163" s="457"/>
      <c r="Q163" s="852"/>
      <c r="R163" s="853"/>
      <c r="S163" s="850"/>
      <c r="T163" s="851"/>
    </row>
    <row r="164" spans="1:20" customFormat="1" ht="15" customHeight="1">
      <c r="A164" s="638" t="s">
        <v>1409</v>
      </c>
      <c r="B164" s="839" t="s">
        <v>1408</v>
      </c>
      <c r="C164" s="425"/>
      <c r="D164" s="425"/>
      <c r="E164" s="425"/>
      <c r="F164" s="468"/>
      <c r="G164" s="421"/>
      <c r="H164" s="423"/>
      <c r="I164" s="832"/>
      <c r="J164" s="420"/>
      <c r="K164" s="917"/>
      <c r="L164" s="918"/>
      <c r="M164" s="918"/>
      <c r="N164" s="459"/>
      <c r="O164" s="328"/>
      <c r="P164" s="457"/>
      <c r="Q164" s="852"/>
      <c r="R164" s="853"/>
      <c r="S164" s="850"/>
      <c r="T164" s="851"/>
    </row>
    <row r="165" spans="1:20" customFormat="1" ht="15" customHeight="1">
      <c r="A165" s="638" t="s">
        <v>1379</v>
      </c>
      <c r="B165" s="840" t="s">
        <v>136</v>
      </c>
      <c r="C165" s="425"/>
      <c r="D165" s="425"/>
      <c r="E165" s="425"/>
      <c r="F165" s="468"/>
      <c r="G165" s="421"/>
      <c r="H165" s="35"/>
      <c r="I165" s="845"/>
      <c r="J165" s="420"/>
      <c r="K165" s="917"/>
      <c r="L165" s="918"/>
      <c r="M165" s="918"/>
      <c r="N165" s="459"/>
      <c r="O165" s="328"/>
      <c r="P165" s="457"/>
      <c r="Q165" s="852"/>
      <c r="R165" s="853"/>
      <c r="S165" s="850"/>
      <c r="T165" s="851"/>
    </row>
    <row r="166" spans="1:20" customFormat="1" ht="15" customHeight="1">
      <c r="A166" s="637" t="s">
        <v>1702</v>
      </c>
      <c r="B166" s="841">
        <v>0</v>
      </c>
      <c r="C166" s="425"/>
      <c r="D166" s="425"/>
      <c r="E166" s="425"/>
      <c r="F166" s="468"/>
      <c r="G166" s="421"/>
      <c r="H166" s="476" t="s">
        <v>1401</v>
      </c>
      <c r="I166" s="477">
        <v>0</v>
      </c>
      <c r="J166" s="420" t="str">
        <f>F153</f>
        <v>tonnes</v>
      </c>
      <c r="K166" s="919">
        <f>IF(J166="M3",12700/1.84,12700)</f>
        <v>12700</v>
      </c>
      <c r="L166" s="908"/>
      <c r="M166" s="908">
        <f>K166*I166</f>
        <v>0</v>
      </c>
      <c r="N166" s="459"/>
      <c r="O166" s="328"/>
      <c r="P166" s="457"/>
      <c r="Q166" s="852"/>
      <c r="R166" s="853"/>
      <c r="S166" s="850"/>
      <c r="T166" s="851"/>
    </row>
    <row r="167" spans="1:20" customFormat="1" ht="15" customHeight="1">
      <c r="A167" s="638"/>
      <c r="B167" s="842"/>
      <c r="C167" s="425"/>
      <c r="D167" s="425"/>
      <c r="E167" s="425"/>
      <c r="F167" s="468"/>
      <c r="G167" s="421"/>
      <c r="H167" s="423"/>
      <c r="I167" s="832"/>
      <c r="J167" s="420"/>
      <c r="K167" s="917"/>
      <c r="L167" s="918"/>
      <c r="M167" s="918"/>
      <c r="N167" s="459"/>
      <c r="O167" s="328"/>
      <c r="P167" s="457"/>
      <c r="Q167" s="852"/>
      <c r="R167" s="853"/>
      <c r="S167" s="850"/>
      <c r="T167" s="851"/>
    </row>
    <row r="168" spans="1:20" customFormat="1" ht="18" customHeight="1">
      <c r="A168" s="636" t="s">
        <v>1788</v>
      </c>
      <c r="B168" s="837"/>
      <c r="C168" s="425"/>
      <c r="D168" s="474"/>
      <c r="E168" s="425"/>
      <c r="F168" s="468"/>
      <c r="G168" s="421"/>
      <c r="H168" s="35"/>
      <c r="I168" s="845"/>
      <c r="J168" s="420"/>
      <c r="K168" s="917"/>
      <c r="L168" s="918"/>
      <c r="M168" s="918"/>
      <c r="N168" s="459"/>
      <c r="O168" s="328"/>
      <c r="P168" s="457"/>
      <c r="Q168" s="849"/>
      <c r="R168" s="850"/>
      <c r="S168" s="850"/>
      <c r="T168" s="851"/>
    </row>
    <row r="169" spans="1:20" customFormat="1" ht="15.75">
      <c r="A169" s="637" t="s">
        <v>1699</v>
      </c>
      <c r="B169" s="838">
        <v>0</v>
      </c>
      <c r="C169" s="425" t="s">
        <v>39</v>
      </c>
      <c r="D169" s="425"/>
      <c r="E169" s="425"/>
      <c r="F169" s="468"/>
      <c r="G169" s="421"/>
      <c r="H169" s="423"/>
      <c r="I169" s="832"/>
      <c r="J169" s="420"/>
      <c r="K169" s="917"/>
      <c r="L169" s="918"/>
      <c r="M169" s="918"/>
      <c r="N169" s="459"/>
      <c r="O169" s="328"/>
      <c r="P169" s="457"/>
      <c r="Q169" s="852">
        <f>(IF(B172=$A$203,0.62*B169,0))*$B$215</f>
        <v>0</v>
      </c>
      <c r="R169" s="853">
        <f>(IF(B173=A224,0.7*((1-0.9)*B169),IF(B173=A223,0.7*((1-0.7)*B169),IF(B173=A222,(0.7*(1-0.5)*B169),IF(B173=A221,(0.7*(1-0.3)*B169),IF(B173=A220,(0.7*(1-0.1)*B169),(0.7*B169)))))))*$B$215</f>
        <v>0</v>
      </c>
      <c r="S169" s="850">
        <f>IF(B169=0,0,SUM(Q169:R169))</f>
        <v>0</v>
      </c>
      <c r="T169" s="851">
        <f>S169*3.667</f>
        <v>0</v>
      </c>
    </row>
    <row r="170" spans="1:20" customFormat="1" ht="15" customHeight="1">
      <c r="A170" s="638" t="s">
        <v>1700</v>
      </c>
      <c r="B170" s="839" t="s">
        <v>1377</v>
      </c>
      <c r="C170" s="425" t="s">
        <v>1659</v>
      </c>
      <c r="D170" s="425"/>
      <c r="E170" s="425"/>
      <c r="F170" s="468"/>
      <c r="G170" s="421"/>
      <c r="H170" s="423"/>
      <c r="I170" s="832"/>
      <c r="J170" s="420"/>
      <c r="K170" s="917"/>
      <c r="L170" s="918"/>
      <c r="M170" s="918"/>
      <c r="N170" s="459"/>
      <c r="O170" s="328"/>
      <c r="P170" s="457"/>
      <c r="Q170" s="852"/>
      <c r="R170" s="853"/>
      <c r="S170" s="850"/>
      <c r="T170" s="851"/>
    </row>
    <row r="171" spans="1:20" customFormat="1" ht="15" customHeight="1">
      <c r="A171" s="638" t="s">
        <v>1409</v>
      </c>
      <c r="B171" s="839" t="s">
        <v>1408</v>
      </c>
      <c r="C171" s="425"/>
      <c r="D171" s="425"/>
      <c r="E171" s="425"/>
      <c r="F171" s="468"/>
      <c r="G171" s="421"/>
      <c r="H171" s="423"/>
      <c r="I171" s="832"/>
      <c r="J171" s="420"/>
      <c r="K171" s="917"/>
      <c r="L171" s="918"/>
      <c r="M171" s="918"/>
      <c r="N171" s="459"/>
      <c r="O171" s="328"/>
      <c r="P171" s="457"/>
      <c r="Q171" s="852"/>
      <c r="R171" s="853"/>
      <c r="S171" s="850"/>
      <c r="T171" s="851"/>
    </row>
    <row r="172" spans="1:20" customFormat="1" ht="15" customHeight="1">
      <c r="A172" s="638" t="s">
        <v>1379</v>
      </c>
      <c r="B172" s="840" t="s">
        <v>136</v>
      </c>
      <c r="C172" s="425"/>
      <c r="D172" s="425"/>
      <c r="E172" s="425"/>
      <c r="F172" s="468"/>
      <c r="G172" s="421"/>
      <c r="H172" s="35"/>
      <c r="I172" s="845"/>
      <c r="J172" s="420"/>
      <c r="K172" s="917"/>
      <c r="L172" s="918"/>
      <c r="M172" s="918"/>
      <c r="N172" s="459"/>
      <c r="O172" s="328"/>
      <c r="P172" s="457"/>
      <c r="Q172" s="852"/>
      <c r="R172" s="853"/>
      <c r="S172" s="850"/>
      <c r="T172" s="851"/>
    </row>
    <row r="173" spans="1:20" customFormat="1" ht="15" customHeight="1">
      <c r="A173" s="638" t="s">
        <v>1701</v>
      </c>
      <c r="B173" s="841">
        <v>0</v>
      </c>
      <c r="C173" s="425"/>
      <c r="D173" s="425"/>
      <c r="E173" s="425"/>
      <c r="F173" s="468"/>
      <c r="G173" s="421"/>
      <c r="H173" s="476" t="s">
        <v>1354</v>
      </c>
      <c r="I173" s="477">
        <v>1</v>
      </c>
      <c r="J173" s="420" t="str">
        <f>F153</f>
        <v>tonnes</v>
      </c>
      <c r="K173" s="919">
        <f>IF(J173="M3",12700/1.84,12700)</f>
        <v>12700</v>
      </c>
      <c r="L173" s="908"/>
      <c r="M173" s="908">
        <f>K173*I173</f>
        <v>12700</v>
      </c>
      <c r="N173" s="459"/>
      <c r="O173" s="328"/>
      <c r="P173" s="457"/>
      <c r="Q173" s="852"/>
      <c r="R173" s="853"/>
      <c r="S173" s="850"/>
      <c r="T173" s="851"/>
    </row>
    <row r="174" spans="1:20" customFormat="1" ht="15" customHeight="1">
      <c r="A174" s="638"/>
      <c r="B174" s="842"/>
      <c r="C174" s="425"/>
      <c r="D174" s="425"/>
      <c r="E174" s="425"/>
      <c r="F174" s="468"/>
      <c r="G174" s="421"/>
      <c r="H174" s="423"/>
      <c r="I174" s="832"/>
      <c r="J174" s="420"/>
      <c r="K174" s="917"/>
      <c r="L174" s="918"/>
      <c r="M174" s="918"/>
      <c r="N174" s="459"/>
      <c r="O174" s="328"/>
      <c r="P174" s="457"/>
      <c r="Q174" s="852"/>
      <c r="R174" s="853"/>
      <c r="S174" s="850"/>
      <c r="T174" s="851"/>
    </row>
    <row r="175" spans="1:20" customFormat="1" ht="15.75">
      <c r="A175" s="637" t="s">
        <v>1790</v>
      </c>
      <c r="B175" s="838">
        <v>0</v>
      </c>
      <c r="C175" s="425" t="s">
        <v>39</v>
      </c>
      <c r="D175" s="425"/>
      <c r="E175" s="425"/>
      <c r="F175" s="468"/>
      <c r="G175" s="421"/>
      <c r="H175" s="423"/>
      <c r="I175" s="832"/>
      <c r="J175" s="420"/>
      <c r="K175" s="917"/>
      <c r="L175" s="918"/>
      <c r="M175" s="918"/>
      <c r="N175" s="459"/>
      <c r="O175" s="328"/>
      <c r="P175" s="457"/>
      <c r="Q175" s="852">
        <f>(IF(B178=$A$203,0.62*B175,0))*$B$222</f>
        <v>0</v>
      </c>
      <c r="R175" s="853">
        <f>(IF(B179=A217,0.7*((1-0.9)*B175),IF(B179=A216,0.7*((1-0.7)*B175),IF(B179=A215,(0.7*(1-0.5)*B175),IF(B179=A214,(0.7*(1-0.3)*B175),IF(B179=A213,(0.7*(1-0.1)*B175),(0.7*B175)))))))*$B$222</f>
        <v>0</v>
      </c>
      <c r="S175" s="850">
        <f>IF(B175=0,0,SUM(Q175:R175))</f>
        <v>0</v>
      </c>
      <c r="T175" s="851">
        <f>S175*3.667</f>
        <v>0</v>
      </c>
    </row>
    <row r="176" spans="1:20" customFormat="1" ht="15" customHeight="1">
      <c r="A176" s="638" t="s">
        <v>1700</v>
      </c>
      <c r="B176" s="839" t="s">
        <v>1377</v>
      </c>
      <c r="C176" s="425" t="s">
        <v>1659</v>
      </c>
      <c r="D176" s="425"/>
      <c r="E176" s="425"/>
      <c r="F176" s="468"/>
      <c r="G176" s="421"/>
      <c r="H176" s="423"/>
      <c r="I176" s="832"/>
      <c r="J176" s="420"/>
      <c r="K176" s="917"/>
      <c r="L176" s="918"/>
      <c r="M176" s="918"/>
      <c r="N176" s="459"/>
      <c r="O176" s="328"/>
      <c r="P176" s="457"/>
      <c r="Q176" s="852"/>
      <c r="R176" s="853"/>
      <c r="S176" s="850"/>
      <c r="T176" s="851"/>
    </row>
    <row r="177" spans="1:20" customFormat="1" ht="15" customHeight="1">
      <c r="A177" s="638" t="s">
        <v>1409</v>
      </c>
      <c r="B177" s="839" t="s">
        <v>1408</v>
      </c>
      <c r="C177" s="425"/>
      <c r="D177" s="425"/>
      <c r="E177" s="425"/>
      <c r="F177" s="468"/>
      <c r="G177" s="421"/>
      <c r="H177" s="423"/>
      <c r="I177" s="832"/>
      <c r="J177" s="420"/>
      <c r="K177" s="917"/>
      <c r="L177" s="918"/>
      <c r="M177" s="918"/>
      <c r="N177" s="459"/>
      <c r="O177" s="328"/>
      <c r="P177" s="457"/>
      <c r="Q177" s="852"/>
      <c r="R177" s="853"/>
      <c r="S177" s="850"/>
      <c r="T177" s="851"/>
    </row>
    <row r="178" spans="1:20" customFormat="1" ht="15" customHeight="1">
      <c r="A178" s="638" t="s">
        <v>1379</v>
      </c>
      <c r="B178" s="840" t="s">
        <v>136</v>
      </c>
      <c r="C178" s="425"/>
      <c r="D178" s="425"/>
      <c r="E178" s="425"/>
      <c r="F178" s="468"/>
      <c r="G178" s="421"/>
      <c r="H178" s="35"/>
      <c r="I178" s="845"/>
      <c r="J178" s="420"/>
      <c r="K178" s="917"/>
      <c r="L178" s="918"/>
      <c r="M178" s="918"/>
      <c r="N178" s="459"/>
      <c r="O178" s="328"/>
      <c r="P178" s="457"/>
      <c r="Q178" s="852"/>
      <c r="R178" s="853"/>
      <c r="S178" s="850"/>
      <c r="T178" s="851"/>
    </row>
    <row r="179" spans="1:20" customFormat="1" ht="15" customHeight="1">
      <c r="A179" s="638" t="s">
        <v>1702</v>
      </c>
      <c r="B179" s="841">
        <v>0</v>
      </c>
      <c r="C179" s="425"/>
      <c r="D179" s="425"/>
      <c r="E179" s="425"/>
      <c r="F179" s="468"/>
      <c r="G179" s="421"/>
      <c r="H179" s="476" t="s">
        <v>1402</v>
      </c>
      <c r="I179" s="477">
        <v>0</v>
      </c>
      <c r="J179" s="420" t="str">
        <f>F153</f>
        <v>tonnes</v>
      </c>
      <c r="K179" s="919">
        <f>IF(J179="M3",12700/1.84,12700)</f>
        <v>12700</v>
      </c>
      <c r="L179" s="908"/>
      <c r="M179" s="908">
        <f>K179*I179</f>
        <v>0</v>
      </c>
      <c r="N179" s="459"/>
      <c r="O179" s="328"/>
      <c r="P179" s="457"/>
      <c r="Q179" s="852"/>
      <c r="R179" s="853"/>
      <c r="S179" s="850"/>
      <c r="T179" s="851"/>
    </row>
    <row r="180" spans="1:20" customFormat="1" ht="15" customHeight="1">
      <c r="A180" s="638"/>
      <c r="B180" s="842"/>
      <c r="C180" s="425"/>
      <c r="D180" s="425"/>
      <c r="E180" s="425"/>
      <c r="F180" s="468"/>
      <c r="G180" s="421"/>
      <c r="H180" s="423"/>
      <c r="I180" s="832"/>
      <c r="J180" s="420"/>
      <c r="K180" s="917"/>
      <c r="L180" s="918"/>
      <c r="M180" s="918"/>
      <c r="N180" s="459"/>
      <c r="O180" s="328"/>
      <c r="P180" s="457"/>
      <c r="Q180" s="852"/>
      <c r="R180" s="853"/>
      <c r="S180" s="850"/>
      <c r="T180" s="851"/>
    </row>
    <row r="181" spans="1:20" customFormat="1" ht="15" customHeight="1">
      <c r="A181" s="638"/>
      <c r="B181" s="842"/>
      <c r="C181" s="425"/>
      <c r="D181" s="425"/>
      <c r="E181" s="425"/>
      <c r="F181" s="468"/>
      <c r="G181" s="421"/>
      <c r="H181" s="423"/>
      <c r="I181" s="832"/>
      <c r="J181" s="420"/>
      <c r="K181" s="917"/>
      <c r="L181" s="918"/>
      <c r="M181" s="918"/>
      <c r="N181" s="459"/>
      <c r="O181" s="328"/>
      <c r="P181" s="457"/>
      <c r="Q181" s="852"/>
      <c r="R181" s="853"/>
      <c r="S181" s="850"/>
      <c r="T181" s="851"/>
    </row>
    <row r="182" spans="1:20" customFormat="1" ht="15" customHeight="1">
      <c r="A182" s="636" t="s">
        <v>1789</v>
      </c>
      <c r="B182" s="842"/>
      <c r="C182" s="425"/>
      <c r="D182" s="425"/>
      <c r="E182" s="425"/>
      <c r="F182" s="468"/>
      <c r="G182" s="421"/>
      <c r="H182" s="423"/>
      <c r="I182" s="832"/>
      <c r="J182" s="420"/>
      <c r="K182" s="917"/>
      <c r="L182" s="918"/>
      <c r="M182" s="918"/>
      <c r="N182" s="459"/>
      <c r="O182" s="328"/>
      <c r="P182" s="457"/>
      <c r="Q182" s="852"/>
      <c r="R182" s="853"/>
      <c r="S182" s="850"/>
      <c r="T182" s="851"/>
    </row>
    <row r="183" spans="1:20" customFormat="1" ht="15" customHeight="1">
      <c r="A183" s="638" t="s">
        <v>1699</v>
      </c>
      <c r="B183" s="838">
        <v>0</v>
      </c>
      <c r="C183" s="425" t="s">
        <v>39</v>
      </c>
      <c r="D183" s="425"/>
      <c r="E183" s="425"/>
      <c r="F183" s="468"/>
      <c r="G183" s="421"/>
      <c r="H183" s="423"/>
      <c r="I183" s="832"/>
      <c r="J183" s="420"/>
      <c r="K183" s="917"/>
      <c r="L183" s="918"/>
      <c r="M183" s="918"/>
      <c r="N183" s="459"/>
      <c r="O183" s="328"/>
      <c r="P183" s="457"/>
      <c r="Q183" s="852">
        <f>(IF(B186=$A$203,0.62*B183,0))*$B$215</f>
        <v>0</v>
      </c>
      <c r="R183" s="853">
        <f>(IF(B187=A225,0.7*((1-0.9)*B183),IF(B187=A224,0.7*((1-0.7)*B183),IF(B187=A223,(0.7*(1-0.5)*B183),IF(B187=A222,(0.7*(1-0.3)*B183),IF(B187=A221,(0.7*(1-0.1)*B183),(0.7*B183)))))))*$B$215</f>
        <v>0</v>
      </c>
      <c r="S183" s="850">
        <f>IF(B183=0,0,SUM(Q183:R183))</f>
        <v>0</v>
      </c>
      <c r="T183" s="851">
        <f>S183*3.667</f>
        <v>0</v>
      </c>
    </row>
    <row r="184" spans="1:20" customFormat="1" ht="15" customHeight="1">
      <c r="A184" s="638" t="s">
        <v>1700</v>
      </c>
      <c r="B184" s="839" t="s">
        <v>1377</v>
      </c>
      <c r="C184" s="425" t="s">
        <v>1659</v>
      </c>
      <c r="D184" s="425"/>
      <c r="E184" s="425"/>
      <c r="F184" s="468"/>
      <c r="G184" s="421"/>
      <c r="H184" s="423"/>
      <c r="I184" s="832"/>
      <c r="J184" s="420"/>
      <c r="K184" s="917"/>
      <c r="L184" s="918"/>
      <c r="M184" s="918"/>
      <c r="N184" s="459"/>
      <c r="O184" s="328"/>
      <c r="P184" s="457"/>
      <c r="Q184" s="852"/>
      <c r="R184" s="853"/>
      <c r="S184" s="850"/>
      <c r="T184" s="851"/>
    </row>
    <row r="185" spans="1:20" customFormat="1" ht="15" customHeight="1">
      <c r="A185" s="638" t="s">
        <v>1409</v>
      </c>
      <c r="B185" s="839" t="s">
        <v>1408</v>
      </c>
      <c r="C185" s="425"/>
      <c r="D185" s="425"/>
      <c r="E185" s="425"/>
      <c r="F185" s="468"/>
      <c r="G185" s="421"/>
      <c r="H185" s="423"/>
      <c r="I185" s="832"/>
      <c r="J185" s="420"/>
      <c r="K185" s="917"/>
      <c r="L185" s="918"/>
      <c r="M185" s="918"/>
      <c r="N185" s="459"/>
      <c r="O185" s="328"/>
      <c r="P185" s="457"/>
      <c r="Q185" s="852"/>
      <c r="R185" s="853"/>
      <c r="S185" s="850"/>
      <c r="T185" s="851"/>
    </row>
    <row r="186" spans="1:20" customFormat="1" ht="15" customHeight="1">
      <c r="A186" s="638" t="s">
        <v>1379</v>
      </c>
      <c r="B186" s="840" t="s">
        <v>652</v>
      </c>
      <c r="C186" s="425"/>
      <c r="D186" s="425"/>
      <c r="E186" s="425"/>
      <c r="F186" s="468"/>
      <c r="G186" s="421"/>
      <c r="H186" s="35"/>
      <c r="I186" s="845"/>
      <c r="J186" s="420"/>
      <c r="K186" s="917"/>
      <c r="L186" s="918"/>
      <c r="M186" s="918"/>
      <c r="N186" s="459"/>
      <c r="O186" s="328"/>
      <c r="P186" s="457"/>
      <c r="Q186" s="852"/>
      <c r="R186" s="853"/>
      <c r="S186" s="850"/>
      <c r="T186" s="851"/>
    </row>
    <row r="187" spans="1:20" customFormat="1" ht="15" customHeight="1">
      <c r="A187" s="638" t="s">
        <v>1701</v>
      </c>
      <c r="B187" s="841">
        <v>0</v>
      </c>
      <c r="C187" s="425"/>
      <c r="D187" s="425"/>
      <c r="E187" s="425"/>
      <c r="F187" s="468"/>
      <c r="G187" s="421"/>
      <c r="H187" s="476" t="s">
        <v>1354</v>
      </c>
      <c r="I187" s="477">
        <v>0</v>
      </c>
      <c r="J187" s="420" t="str">
        <f>F153</f>
        <v>tonnes</v>
      </c>
      <c r="K187" s="919">
        <f>IF(J187="M3",12700/1.84,12700)</f>
        <v>12700</v>
      </c>
      <c r="L187" s="908"/>
      <c r="M187" s="908">
        <f>K187*I187</f>
        <v>0</v>
      </c>
      <c r="N187" s="459"/>
      <c r="O187" s="328"/>
      <c r="P187" s="457"/>
      <c r="Q187" s="852"/>
      <c r="R187" s="853"/>
      <c r="S187" s="850"/>
      <c r="T187" s="851"/>
    </row>
    <row r="188" spans="1:20" customFormat="1" ht="15" customHeight="1">
      <c r="A188" s="638"/>
      <c r="B188" s="842"/>
      <c r="C188" s="425"/>
      <c r="D188" s="425"/>
      <c r="E188" s="425"/>
      <c r="F188" s="468"/>
      <c r="G188" s="421"/>
      <c r="H188" s="423"/>
      <c r="I188" s="832"/>
      <c r="J188" s="420"/>
      <c r="K188" s="917"/>
      <c r="L188" s="918"/>
      <c r="M188" s="918"/>
      <c r="N188" s="459"/>
      <c r="O188" s="328"/>
      <c r="P188" s="457"/>
      <c r="Q188" s="852"/>
      <c r="R188" s="853"/>
      <c r="S188" s="850"/>
      <c r="T188" s="851"/>
    </row>
    <row r="189" spans="1:20" customFormat="1" ht="15" customHeight="1">
      <c r="A189" s="638" t="s">
        <v>1790</v>
      </c>
      <c r="B189" s="838">
        <v>0</v>
      </c>
      <c r="C189" s="425" t="s">
        <v>39</v>
      </c>
      <c r="D189" s="425"/>
      <c r="E189" s="425"/>
      <c r="F189" s="468"/>
      <c r="G189" s="421"/>
      <c r="H189" s="423"/>
      <c r="I189" s="832"/>
      <c r="J189" s="420"/>
      <c r="K189" s="917"/>
      <c r="L189" s="918"/>
      <c r="M189" s="918"/>
      <c r="N189" s="459"/>
      <c r="O189" s="328"/>
      <c r="P189" s="457"/>
      <c r="Q189" s="852">
        <f>(IF(B192=$A$203,0.62*B189,0))*$B$222</f>
        <v>0</v>
      </c>
      <c r="R189" s="853">
        <f>(IF(B193=A218,0.7*((1-0.9)*B189),IF(B193=A217,0.7*((1-0.7)*B189),IF(B193=A216,(0.7*(1-0.5)*B189),IF(B193=A215,(0.7*(1-0.3)*B189),IF(B193=A214,(0.7*(1-0.1)*B189),(0.7*B189)))))))*$B$222</f>
        <v>0</v>
      </c>
      <c r="S189" s="850">
        <f>IF(B189=0,0,SUM(Q189:R189))</f>
        <v>0</v>
      </c>
      <c r="T189" s="851">
        <f>S189*3.667</f>
        <v>0</v>
      </c>
    </row>
    <row r="190" spans="1:20" customFormat="1" ht="15" customHeight="1">
      <c r="A190" s="638" t="s">
        <v>1700</v>
      </c>
      <c r="B190" s="839" t="s">
        <v>1373</v>
      </c>
      <c r="C190" s="425" t="s">
        <v>1659</v>
      </c>
      <c r="D190" s="425"/>
      <c r="E190" s="425"/>
      <c r="F190" s="468"/>
      <c r="G190" s="421"/>
      <c r="H190" s="423"/>
      <c r="I190" s="832"/>
      <c r="J190" s="420"/>
      <c r="K190" s="917"/>
      <c r="L190" s="918"/>
      <c r="M190" s="918"/>
      <c r="N190" s="459"/>
      <c r="O190" s="328"/>
      <c r="P190" s="457"/>
      <c r="Q190" s="852"/>
      <c r="R190" s="853"/>
      <c r="S190" s="850"/>
      <c r="T190" s="851"/>
    </row>
    <row r="191" spans="1:20" customFormat="1" ht="15" customHeight="1">
      <c r="A191" s="638" t="s">
        <v>1409</v>
      </c>
      <c r="B191" s="839" t="s">
        <v>1408</v>
      </c>
      <c r="C191" s="425"/>
      <c r="D191" s="425"/>
      <c r="E191" s="425"/>
      <c r="F191" s="468"/>
      <c r="G191" s="421"/>
      <c r="H191" s="423"/>
      <c r="I191" s="832"/>
      <c r="J191" s="420"/>
      <c r="K191" s="917"/>
      <c r="L191" s="918"/>
      <c r="M191" s="918"/>
      <c r="N191" s="459"/>
      <c r="O191" s="328"/>
      <c r="P191" s="457"/>
      <c r="Q191" s="852"/>
      <c r="R191" s="853"/>
      <c r="S191" s="850"/>
      <c r="T191" s="851"/>
    </row>
    <row r="192" spans="1:20" customFormat="1" ht="15" customHeight="1">
      <c r="A192" s="638" t="s">
        <v>1379</v>
      </c>
      <c r="B192" s="840" t="s">
        <v>652</v>
      </c>
      <c r="C192" s="425"/>
      <c r="D192" s="425"/>
      <c r="E192" s="425"/>
      <c r="F192" s="468"/>
      <c r="G192" s="421"/>
      <c r="H192" s="35"/>
      <c r="I192" s="845"/>
      <c r="J192" s="420"/>
      <c r="K192" s="917"/>
      <c r="L192" s="918"/>
      <c r="M192" s="918"/>
      <c r="N192" s="459"/>
      <c r="O192" s="328"/>
      <c r="P192" s="457"/>
      <c r="Q192" s="852"/>
      <c r="R192" s="853"/>
      <c r="S192" s="850"/>
      <c r="T192" s="851"/>
    </row>
    <row r="193" spans="1:26" customFormat="1" ht="15" customHeight="1">
      <c r="A193" s="638" t="s">
        <v>1701</v>
      </c>
      <c r="B193" s="841">
        <v>0</v>
      </c>
      <c r="C193" s="425"/>
      <c r="D193" s="425"/>
      <c r="E193" s="425"/>
      <c r="F193" s="468"/>
      <c r="G193" s="421"/>
      <c r="H193" s="476" t="s">
        <v>1402</v>
      </c>
      <c r="I193" s="477"/>
      <c r="J193" s="420" t="str">
        <f>F153</f>
        <v>tonnes</v>
      </c>
      <c r="K193" s="919">
        <f>IF(J193="M3",12700/1.84,12700)</f>
        <v>12700</v>
      </c>
      <c r="L193" s="908"/>
      <c r="M193" s="908">
        <f>K193*I193</f>
        <v>0</v>
      </c>
      <c r="N193" s="459"/>
      <c r="O193" s="328"/>
      <c r="P193" s="457"/>
      <c r="Q193" s="852"/>
      <c r="R193" s="853"/>
      <c r="S193" s="850"/>
      <c r="T193" s="851"/>
    </row>
    <row r="194" spans="1:26" customFormat="1" ht="15" customHeight="1">
      <c r="A194" s="638"/>
      <c r="B194" s="842"/>
      <c r="C194" s="425"/>
      <c r="D194" s="425"/>
      <c r="E194" s="425"/>
      <c r="F194" s="468"/>
      <c r="G194" s="421"/>
      <c r="H194" s="423"/>
      <c r="I194" s="832"/>
      <c r="J194" s="420"/>
      <c r="K194" s="917"/>
      <c r="L194" s="918"/>
      <c r="M194" s="918"/>
      <c r="N194" s="459"/>
      <c r="O194" s="328"/>
      <c r="P194" s="457"/>
      <c r="Q194" s="852"/>
      <c r="R194" s="853"/>
      <c r="S194" s="850"/>
      <c r="T194" s="851"/>
    </row>
    <row r="195" spans="1:26" customFormat="1" ht="15" customHeight="1">
      <c r="A195" s="636" t="s">
        <v>1681</v>
      </c>
      <c r="B195" s="842"/>
      <c r="C195" s="425"/>
      <c r="D195" s="425"/>
      <c r="E195" s="425"/>
      <c r="F195" s="468"/>
      <c r="G195" s="421"/>
      <c r="H195" s="423"/>
      <c r="I195" s="832"/>
      <c r="J195" s="420"/>
      <c r="K195" s="917"/>
      <c r="L195" s="918"/>
      <c r="M195" s="918"/>
      <c r="N195" s="459"/>
      <c r="O195" s="328"/>
      <c r="P195" s="457"/>
      <c r="Q195" s="852"/>
      <c r="R195" s="853"/>
      <c r="S195" s="850"/>
      <c r="T195" s="851"/>
    </row>
    <row r="196" spans="1:26" customFormat="1" ht="15" customHeight="1">
      <c r="A196" s="638" t="s">
        <v>1388</v>
      </c>
      <c r="B196" s="838">
        <v>0</v>
      </c>
      <c r="C196" s="425" t="s">
        <v>1380</v>
      </c>
      <c r="D196" s="425"/>
      <c r="E196" s="425"/>
      <c r="F196" s="468"/>
      <c r="G196" s="421"/>
      <c r="H196" s="423"/>
      <c r="I196" s="832"/>
      <c r="J196" s="420"/>
      <c r="K196" s="917"/>
      <c r="L196" s="918"/>
      <c r="M196" s="918"/>
      <c r="N196" s="459"/>
      <c r="O196" s="459"/>
      <c r="P196" s="460"/>
      <c r="Q196" s="852">
        <f>0.62*B200</f>
        <v>0</v>
      </c>
      <c r="R196" s="853">
        <f>0.7*B200</f>
        <v>0</v>
      </c>
      <c r="S196" s="850">
        <f>SUM(Q196:R196)</f>
        <v>0</v>
      </c>
      <c r="T196" s="851">
        <f>S196*3.667</f>
        <v>0</v>
      </c>
    </row>
    <row r="197" spans="1:26" customFormat="1" ht="15" customHeight="1">
      <c r="A197" s="638" t="s">
        <v>1381</v>
      </c>
      <c r="B197" s="843">
        <v>0</v>
      </c>
      <c r="C197" s="425" t="s">
        <v>1380</v>
      </c>
      <c r="D197" s="425"/>
      <c r="E197" s="425"/>
      <c r="F197" s="468"/>
      <c r="G197" s="421"/>
      <c r="H197" s="423"/>
      <c r="I197" s="832"/>
      <c r="J197" s="420"/>
      <c r="K197" s="917"/>
      <c r="L197" s="918"/>
      <c r="M197" s="918"/>
      <c r="N197" s="459"/>
      <c r="O197" s="459"/>
      <c r="P197" s="460"/>
      <c r="Q197" s="852"/>
      <c r="R197" s="854"/>
      <c r="S197" s="850"/>
      <c r="T197" s="851"/>
    </row>
    <row r="198" spans="1:26" customFormat="1" ht="15" customHeight="1">
      <c r="A198" s="638" t="s">
        <v>1791</v>
      </c>
      <c r="B198" s="843">
        <v>0</v>
      </c>
      <c r="C198" s="425" t="s">
        <v>1380</v>
      </c>
      <c r="D198" s="425"/>
      <c r="E198" s="425"/>
      <c r="F198" s="468"/>
      <c r="G198" s="421"/>
      <c r="H198" s="476" t="s">
        <v>1354</v>
      </c>
      <c r="I198" s="331">
        <v>0</v>
      </c>
      <c r="J198" s="420" t="str">
        <f>F153</f>
        <v>tonnes</v>
      </c>
      <c r="K198" s="919">
        <f>IF(J198="M3",12700/1.84,12700)</f>
        <v>12700</v>
      </c>
      <c r="L198" s="908"/>
      <c r="M198" s="908">
        <f>K198*I198</f>
        <v>0</v>
      </c>
      <c r="N198" s="459"/>
      <c r="O198" s="328"/>
      <c r="P198" s="457"/>
      <c r="Q198" s="852"/>
      <c r="R198" s="853"/>
      <c r="S198" s="850"/>
      <c r="T198" s="851"/>
    </row>
    <row r="199" spans="1:26" customFormat="1" ht="15" customHeight="1" thickBot="1">
      <c r="A199" s="478"/>
      <c r="B199" s="468"/>
      <c r="C199" s="468"/>
      <c r="D199" s="468"/>
      <c r="E199" s="468"/>
      <c r="F199" s="468"/>
      <c r="G199" s="421"/>
      <c r="H199" s="476" t="s">
        <v>1402</v>
      </c>
      <c r="I199" s="331">
        <v>0</v>
      </c>
      <c r="J199" s="420" t="str">
        <f>F153</f>
        <v>tonnes</v>
      </c>
      <c r="K199" s="458"/>
      <c r="L199" s="459"/>
      <c r="M199" s="459"/>
      <c r="N199" s="459"/>
      <c r="O199" s="459"/>
      <c r="P199" s="460"/>
      <c r="Q199" s="855"/>
      <c r="R199" s="856"/>
      <c r="S199" s="857"/>
      <c r="T199" s="858"/>
    </row>
    <row r="200" spans="1:26" customFormat="1" ht="15" hidden="1" customHeight="1">
      <c r="A200" s="479" t="s">
        <v>1389</v>
      </c>
      <c r="B200" s="469">
        <f>(B198*B197)/10000</f>
        <v>0</v>
      </c>
      <c r="C200" s="480" t="s">
        <v>39</v>
      </c>
      <c r="D200" s="480"/>
      <c r="E200" s="480"/>
      <c r="F200" s="468"/>
      <c r="G200" s="421"/>
      <c r="H200" s="423"/>
      <c r="I200" s="35"/>
      <c r="J200" s="420">
        <f>I155</f>
        <v>0</v>
      </c>
      <c r="K200" s="456"/>
      <c r="L200" s="328"/>
      <c r="M200" s="328"/>
      <c r="N200" s="328"/>
      <c r="O200" s="328"/>
      <c r="P200" s="457"/>
      <c r="X200" s="25"/>
      <c r="Y200" s="25"/>
      <c r="Z200" s="25"/>
    </row>
    <row r="201" spans="1:26" customFormat="1" ht="15" hidden="1" customHeight="1">
      <c r="A201" s="475"/>
      <c r="B201" s="837"/>
      <c r="C201" s="425"/>
      <c r="D201" s="425"/>
      <c r="E201" s="425"/>
      <c r="F201" s="468"/>
      <c r="G201" s="421"/>
      <c r="H201" s="423"/>
      <c r="I201" s="35"/>
      <c r="J201" s="420" t="e">
        <f>#REF!</f>
        <v>#REF!</v>
      </c>
      <c r="K201" s="456"/>
      <c r="L201" s="328"/>
      <c r="M201" s="328"/>
      <c r="N201" s="463"/>
      <c r="O201" s="463"/>
      <c r="P201" s="464"/>
    </row>
    <row r="202" spans="1:26" customFormat="1" hidden="1">
      <c r="A202" s="426"/>
      <c r="B202" s="844"/>
      <c r="C202" s="425"/>
      <c r="D202" s="425"/>
      <c r="E202" s="425"/>
      <c r="F202" s="468"/>
      <c r="G202" s="421"/>
      <c r="H202" s="423"/>
      <c r="I202" s="424"/>
      <c r="J202" s="420">
        <f t="shared" ref="J202:J214" si="16">I156</f>
        <v>0</v>
      </c>
      <c r="K202" s="458"/>
      <c r="L202" s="459"/>
      <c r="M202" s="459"/>
      <c r="N202" s="459"/>
      <c r="O202" s="459"/>
      <c r="P202" s="460"/>
    </row>
    <row r="203" spans="1:26" customFormat="1" hidden="1">
      <c r="A203" s="481" t="s">
        <v>136</v>
      </c>
      <c r="B203" s="429"/>
      <c r="C203" s="425"/>
      <c r="D203" s="425"/>
      <c r="E203" s="425"/>
      <c r="F203" s="468"/>
      <c r="G203" s="421"/>
      <c r="H203" s="35"/>
      <c r="I203" s="35"/>
      <c r="J203" s="420">
        <f t="shared" si="16"/>
        <v>0</v>
      </c>
      <c r="K203" s="458"/>
      <c r="L203" s="459"/>
      <c r="M203" s="459"/>
      <c r="N203" s="459"/>
      <c r="O203" s="459"/>
      <c r="P203" s="460"/>
    </row>
    <row r="204" spans="1:26" customFormat="1" hidden="1">
      <c r="A204" s="481" t="s">
        <v>652</v>
      </c>
      <c r="B204" s="429"/>
      <c r="C204" s="425"/>
      <c r="D204" s="425"/>
      <c r="E204" s="425"/>
      <c r="F204" s="468"/>
      <c r="G204" s="421"/>
      <c r="H204" s="35"/>
      <c r="I204" s="35"/>
      <c r="J204" s="420">
        <f t="shared" si="16"/>
        <v>0</v>
      </c>
      <c r="K204" s="458"/>
      <c r="L204" s="459"/>
      <c r="M204" s="459"/>
      <c r="N204" s="459"/>
      <c r="O204" s="459"/>
      <c r="P204" s="460"/>
    </row>
    <row r="205" spans="1:26" customFormat="1" hidden="1">
      <c r="A205" s="481"/>
      <c r="B205" s="429"/>
      <c r="C205" s="425"/>
      <c r="D205" s="425"/>
      <c r="E205" s="425"/>
      <c r="F205" s="468"/>
      <c r="G205" s="421"/>
      <c r="H205" s="35"/>
      <c r="I205" s="35"/>
      <c r="J205" s="420">
        <f t="shared" si="16"/>
        <v>0</v>
      </c>
      <c r="K205" s="458"/>
      <c r="L205" s="459"/>
      <c r="M205" s="459"/>
      <c r="N205" s="459"/>
      <c r="O205" s="459"/>
      <c r="P205" s="460"/>
    </row>
    <row r="206" spans="1:26" customFormat="1" hidden="1">
      <c r="A206" s="482" t="s">
        <v>1378</v>
      </c>
      <c r="B206" s="429"/>
      <c r="C206" s="425"/>
      <c r="D206" s="425"/>
      <c r="E206" s="425"/>
      <c r="F206" s="468"/>
      <c r="G206" s="421"/>
      <c r="H206" s="35"/>
      <c r="I206" s="35"/>
      <c r="J206" s="420">
        <f t="shared" si="16"/>
        <v>0</v>
      </c>
      <c r="K206" s="458"/>
      <c r="L206" s="459"/>
      <c r="M206" s="459"/>
      <c r="N206" s="459"/>
      <c r="O206" s="459"/>
      <c r="P206" s="460"/>
    </row>
    <row r="207" spans="1:26" customFormat="1" hidden="1">
      <c r="A207" s="481">
        <v>0</v>
      </c>
      <c r="B207" s="429"/>
      <c r="C207" s="425"/>
      <c r="D207" s="425"/>
      <c r="E207" s="425"/>
      <c r="F207" s="468"/>
      <c r="G207" s="421"/>
      <c r="H207" s="35"/>
      <c r="I207" s="35"/>
      <c r="J207" s="420">
        <f t="shared" si="16"/>
        <v>0</v>
      </c>
      <c r="K207" s="458"/>
      <c r="L207" s="459"/>
      <c r="M207" s="459"/>
      <c r="N207" s="459"/>
      <c r="O207" s="459"/>
      <c r="P207" s="460"/>
    </row>
    <row r="208" spans="1:26" customFormat="1" hidden="1">
      <c r="A208" s="481" t="s">
        <v>359</v>
      </c>
      <c r="B208" s="429"/>
      <c r="C208" s="425"/>
      <c r="D208" s="425"/>
      <c r="E208" s="425"/>
      <c r="F208" s="468"/>
      <c r="G208" s="421"/>
      <c r="H208" s="35"/>
      <c r="I208" s="35"/>
      <c r="J208" s="420">
        <f t="shared" si="16"/>
        <v>0</v>
      </c>
      <c r="K208" s="458"/>
      <c r="L208" s="459"/>
      <c r="M208" s="459"/>
      <c r="N208" s="459"/>
      <c r="O208" s="459"/>
      <c r="P208" s="460"/>
    </row>
    <row r="209" spans="1:21" customFormat="1" hidden="1">
      <c r="A209" s="481" t="s">
        <v>127</v>
      </c>
      <c r="B209" s="429"/>
      <c r="C209" s="425"/>
      <c r="D209" s="425"/>
      <c r="E209" s="425"/>
      <c r="F209" s="468"/>
      <c r="G209" s="421"/>
      <c r="H209" s="35"/>
      <c r="I209" s="35"/>
      <c r="J209" s="420">
        <f t="shared" si="16"/>
        <v>0</v>
      </c>
      <c r="K209" s="458"/>
      <c r="L209" s="459"/>
      <c r="M209" s="459"/>
      <c r="N209" s="459"/>
      <c r="O209" s="459"/>
      <c r="P209" s="460"/>
    </row>
    <row r="210" spans="1:21" customFormat="1" hidden="1">
      <c r="A210" s="481" t="s">
        <v>128</v>
      </c>
      <c r="B210" s="429"/>
      <c r="C210" s="425"/>
      <c r="D210" s="425"/>
      <c r="E210" s="425"/>
      <c r="F210" s="468"/>
      <c r="G210" s="421"/>
      <c r="H210" s="35"/>
      <c r="I210" s="35"/>
      <c r="J210" s="420">
        <f t="shared" si="16"/>
        <v>0</v>
      </c>
      <c r="K210" s="458"/>
      <c r="L210" s="459"/>
      <c r="M210" s="459"/>
      <c r="N210" s="459"/>
      <c r="O210" s="459"/>
      <c r="P210" s="460"/>
    </row>
    <row r="211" spans="1:21" customFormat="1" hidden="1">
      <c r="A211" s="481" t="s">
        <v>129</v>
      </c>
      <c r="B211" s="429"/>
      <c r="C211" s="425"/>
      <c r="D211" s="425"/>
      <c r="E211" s="425"/>
      <c r="F211" s="468"/>
      <c r="G211" s="421"/>
      <c r="H211" s="35"/>
      <c r="I211" s="35"/>
      <c r="J211" s="420">
        <f t="shared" si="16"/>
        <v>0</v>
      </c>
      <c r="K211" s="458"/>
      <c r="L211" s="459"/>
      <c r="M211" s="459"/>
      <c r="N211" s="459"/>
      <c r="O211" s="459"/>
      <c r="P211" s="460"/>
    </row>
    <row r="212" spans="1:21" customFormat="1" hidden="1">
      <c r="A212" s="481" t="s">
        <v>130</v>
      </c>
      <c r="B212" s="429"/>
      <c r="C212" s="425"/>
      <c r="D212" s="425"/>
      <c r="E212" s="425"/>
      <c r="F212" s="468"/>
      <c r="G212" s="421"/>
      <c r="H212" s="35"/>
      <c r="I212" s="35"/>
      <c r="J212" s="420">
        <f t="shared" si="16"/>
        <v>0</v>
      </c>
      <c r="K212" s="458"/>
      <c r="L212" s="459"/>
      <c r="M212" s="459"/>
      <c r="N212" s="459"/>
      <c r="O212" s="459"/>
      <c r="P212" s="460"/>
    </row>
    <row r="213" spans="1:21" customFormat="1" hidden="1">
      <c r="A213" s="483"/>
      <c r="B213" s="429"/>
      <c r="C213" s="425"/>
      <c r="D213" s="425"/>
      <c r="E213" s="425"/>
      <c r="F213" s="468"/>
      <c r="G213" s="421"/>
      <c r="H213" s="35"/>
      <c r="I213" s="35"/>
      <c r="J213" s="420">
        <f t="shared" si="16"/>
        <v>0</v>
      </c>
      <c r="K213" s="458"/>
      <c r="L213" s="459"/>
      <c r="M213" s="459"/>
      <c r="N213" s="459"/>
      <c r="O213" s="459"/>
      <c r="P213" s="460"/>
    </row>
    <row r="214" spans="1:21" customFormat="1" hidden="1">
      <c r="A214" s="482" t="s">
        <v>1384</v>
      </c>
      <c r="B214" s="429"/>
      <c r="C214" s="425"/>
      <c r="D214" s="425"/>
      <c r="E214" s="425"/>
      <c r="F214" s="468"/>
      <c r="G214" s="421"/>
      <c r="H214" s="35"/>
      <c r="I214" s="35"/>
      <c r="J214" s="420">
        <f t="shared" si="16"/>
        <v>0</v>
      </c>
      <c r="K214" s="458"/>
      <c r="L214" s="459"/>
      <c r="M214" s="459"/>
      <c r="N214" s="459"/>
      <c r="O214" s="459"/>
      <c r="P214" s="460"/>
    </row>
    <row r="215" spans="1:21" customFormat="1" hidden="1">
      <c r="A215" s="481" t="s">
        <v>1377</v>
      </c>
      <c r="B215" s="471">
        <f>IF(B157=A215,0.2,IF(B157=A216,0.4,IF(B157=A217,0.6,IF(B157=A218,0.8,IF(B157=A219,1)))))</f>
        <v>0.2</v>
      </c>
      <c r="C215" s="425"/>
      <c r="D215" s="425"/>
      <c r="E215" s="425"/>
      <c r="F215" s="468"/>
      <c r="G215" s="421"/>
      <c r="H215" s="35"/>
      <c r="I215" s="35"/>
      <c r="J215" s="420" t="e">
        <f>#REF!</f>
        <v>#REF!</v>
      </c>
      <c r="K215" s="458"/>
      <c r="L215" s="459"/>
      <c r="M215" s="459"/>
      <c r="N215" s="459"/>
      <c r="O215" s="459"/>
      <c r="P215" s="460"/>
    </row>
    <row r="216" spans="1:21" customFormat="1" hidden="1">
      <c r="A216" s="481" t="s">
        <v>1376</v>
      </c>
      <c r="B216" s="429"/>
      <c r="C216" s="425"/>
      <c r="D216" s="425"/>
      <c r="E216" s="425"/>
      <c r="F216" s="468"/>
      <c r="G216" s="421"/>
      <c r="H216" s="35"/>
      <c r="I216" s="35"/>
      <c r="J216" s="420">
        <f t="shared" ref="J216:J228" si="17">I169</f>
        <v>0</v>
      </c>
      <c r="K216" s="458"/>
      <c r="L216" s="459"/>
      <c r="M216" s="459"/>
      <c r="N216" s="459"/>
      <c r="O216" s="459"/>
      <c r="P216" s="460"/>
    </row>
    <row r="217" spans="1:21" customFormat="1" hidden="1">
      <c r="A217" s="481" t="s">
        <v>1375</v>
      </c>
      <c r="B217" s="429"/>
      <c r="C217" s="425"/>
      <c r="D217" s="425"/>
      <c r="E217" s="425"/>
      <c r="F217" s="468"/>
      <c r="G217" s="421"/>
      <c r="H217" s="35"/>
      <c r="I217" s="35"/>
      <c r="J217" s="420">
        <f t="shared" si="17"/>
        <v>0</v>
      </c>
      <c r="K217" s="458"/>
      <c r="L217" s="459"/>
      <c r="M217" s="459"/>
      <c r="N217" s="459"/>
      <c r="O217" s="459"/>
      <c r="P217" s="460"/>
    </row>
    <row r="218" spans="1:21" customFormat="1" hidden="1">
      <c r="A218" s="481" t="s">
        <v>1374</v>
      </c>
      <c r="B218" s="429"/>
      <c r="C218" s="425"/>
      <c r="D218" s="425"/>
      <c r="E218" s="425"/>
      <c r="F218" s="468"/>
      <c r="G218" s="421"/>
      <c r="H218" s="35"/>
      <c r="I218" s="35"/>
      <c r="J218" s="420">
        <f t="shared" si="17"/>
        <v>0</v>
      </c>
      <c r="K218" s="458"/>
      <c r="L218" s="459"/>
      <c r="M218" s="459"/>
      <c r="N218" s="459"/>
      <c r="O218" s="459"/>
      <c r="P218" s="460"/>
    </row>
    <row r="219" spans="1:21" customFormat="1" hidden="1">
      <c r="A219" s="481" t="s">
        <v>1373</v>
      </c>
      <c r="B219" s="429"/>
      <c r="C219" s="425"/>
      <c r="D219" s="425"/>
      <c r="E219" s="425"/>
      <c r="F219" s="468"/>
      <c r="G219" s="421"/>
      <c r="H219" s="35"/>
      <c r="I219" s="35"/>
      <c r="J219" s="420">
        <f t="shared" si="17"/>
        <v>0</v>
      </c>
      <c r="K219" s="458"/>
      <c r="L219" s="459"/>
      <c r="M219" s="459"/>
      <c r="N219" s="459"/>
      <c r="O219" s="459"/>
      <c r="P219" s="460"/>
    </row>
    <row r="220" spans="1:21" hidden="1">
      <c r="A220" s="397"/>
      <c r="B220" s="429"/>
      <c r="C220" s="391"/>
      <c r="D220" s="391"/>
      <c r="E220" s="391"/>
      <c r="F220" s="309"/>
      <c r="G220" s="244"/>
      <c r="H220" s="391"/>
      <c r="I220" s="391"/>
      <c r="J220" s="420">
        <f t="shared" si="17"/>
        <v>1</v>
      </c>
      <c r="K220" s="458"/>
      <c r="L220" s="459"/>
      <c r="M220" s="459"/>
      <c r="N220" s="459"/>
      <c r="O220" s="459"/>
      <c r="P220" s="460"/>
      <c r="Q220" s="25"/>
      <c r="R220" s="25"/>
      <c r="S220" s="25"/>
      <c r="T220" s="25"/>
      <c r="U220" s="25"/>
    </row>
    <row r="221" spans="1:21" hidden="1">
      <c r="A221" s="482" t="s">
        <v>1385</v>
      </c>
      <c r="B221" s="429"/>
      <c r="C221" s="391"/>
      <c r="D221" s="391"/>
      <c r="E221" s="391"/>
      <c r="F221" s="309"/>
      <c r="G221" s="244"/>
      <c r="H221" s="391"/>
      <c r="I221" s="391"/>
      <c r="J221" s="420">
        <f t="shared" si="17"/>
        <v>0</v>
      </c>
      <c r="K221" s="458"/>
      <c r="L221" s="459"/>
      <c r="M221" s="459"/>
      <c r="N221" s="459"/>
      <c r="O221" s="459"/>
      <c r="P221" s="460"/>
      <c r="Q221" s="25"/>
      <c r="R221" s="25"/>
      <c r="S221" s="25"/>
      <c r="T221" s="25"/>
      <c r="U221" s="25"/>
    </row>
    <row r="222" spans="1:21" hidden="1">
      <c r="A222" s="481" t="s">
        <v>1377</v>
      </c>
      <c r="B222" s="471">
        <f>IF(B163=A222,0.2,IF(B163=A223,0.4,IF(B163=A224,0.6,IF(B163=A225,0.8,IF(B163=A226,1)))))</f>
        <v>0.2</v>
      </c>
      <c r="C222" s="391"/>
      <c r="D222" s="391"/>
      <c r="E222" s="391"/>
      <c r="F222" s="309"/>
      <c r="G222" s="244"/>
      <c r="H222" s="391"/>
      <c r="I222" s="391"/>
      <c r="J222" s="420">
        <f t="shared" si="17"/>
        <v>0</v>
      </c>
      <c r="K222" s="458"/>
      <c r="L222" s="459"/>
      <c r="M222" s="459"/>
      <c r="N222" s="459"/>
      <c r="O222" s="459"/>
      <c r="P222" s="460"/>
      <c r="Q222" s="25"/>
      <c r="R222" s="25"/>
      <c r="S222" s="25"/>
      <c r="T222" s="25"/>
      <c r="U222" s="25"/>
    </row>
    <row r="223" spans="1:21" hidden="1">
      <c r="A223" s="481" t="s">
        <v>1376</v>
      </c>
      <c r="B223" s="429"/>
      <c r="C223" s="391"/>
      <c r="D223" s="391"/>
      <c r="E223" s="391"/>
      <c r="F223" s="309"/>
      <c r="G223" s="244"/>
      <c r="H223" s="391"/>
      <c r="I223" s="391"/>
      <c r="J223" s="420">
        <f t="shared" si="17"/>
        <v>0</v>
      </c>
      <c r="K223" s="458"/>
      <c r="L223" s="459"/>
      <c r="M223" s="459"/>
      <c r="N223" s="459"/>
      <c r="O223" s="463"/>
      <c r="P223" s="464"/>
      <c r="Q223" s="25"/>
      <c r="R223" s="25"/>
      <c r="S223" s="25"/>
      <c r="T223" s="25"/>
      <c r="U223" s="25"/>
    </row>
    <row r="224" spans="1:21" hidden="1">
      <c r="A224" s="481" t="s">
        <v>1375</v>
      </c>
      <c r="B224" s="429"/>
      <c r="C224" s="391"/>
      <c r="D224" s="391"/>
      <c r="E224" s="391"/>
      <c r="F224" s="309"/>
      <c r="G224" s="244"/>
      <c r="H224" s="391"/>
      <c r="I224" s="391"/>
      <c r="J224" s="420">
        <f t="shared" si="17"/>
        <v>0</v>
      </c>
      <c r="K224" s="458"/>
      <c r="L224" s="459"/>
      <c r="M224" s="459"/>
      <c r="N224" s="459"/>
      <c r="O224" s="463"/>
      <c r="P224" s="464"/>
      <c r="Q224" s="25"/>
      <c r="R224" s="25"/>
      <c r="S224" s="25"/>
      <c r="T224" s="25"/>
      <c r="U224" s="25"/>
    </row>
    <row r="225" spans="1:21" hidden="1">
      <c r="A225" s="481" t="s">
        <v>1374</v>
      </c>
      <c r="B225" s="429"/>
      <c r="C225" s="391"/>
      <c r="D225" s="391"/>
      <c r="E225" s="391"/>
      <c r="F225" s="309"/>
      <c r="G225" s="244"/>
      <c r="H225" s="391"/>
      <c r="I225" s="391"/>
      <c r="J225" s="420">
        <f t="shared" si="17"/>
        <v>0</v>
      </c>
      <c r="K225" s="458"/>
      <c r="L225" s="459"/>
      <c r="M225" s="459"/>
      <c r="N225" s="459"/>
      <c r="O225" s="463"/>
      <c r="P225" s="464"/>
      <c r="Q225" s="25"/>
      <c r="R225" s="25"/>
      <c r="S225" s="25"/>
      <c r="T225" s="25"/>
      <c r="U225" s="25"/>
    </row>
    <row r="226" spans="1:21" hidden="1">
      <c r="A226" s="481" t="s">
        <v>1373</v>
      </c>
      <c r="B226" s="429"/>
      <c r="C226" s="391"/>
      <c r="D226" s="391"/>
      <c r="E226" s="391"/>
      <c r="F226" s="309"/>
      <c r="G226" s="244"/>
      <c r="H226" s="391"/>
      <c r="I226" s="391"/>
      <c r="J226" s="420">
        <f t="shared" si="17"/>
        <v>0</v>
      </c>
      <c r="K226" s="458"/>
      <c r="L226" s="459"/>
      <c r="M226" s="459"/>
      <c r="N226" s="459"/>
      <c r="O226" s="463"/>
      <c r="P226" s="464"/>
      <c r="Q226" s="25"/>
      <c r="R226" s="25"/>
      <c r="S226" s="25"/>
      <c r="T226" s="25"/>
      <c r="U226" s="25"/>
    </row>
    <row r="227" spans="1:21" hidden="1">
      <c r="A227" s="397"/>
      <c r="B227" s="429"/>
      <c r="C227" s="391"/>
      <c r="D227" s="391"/>
      <c r="E227" s="391"/>
      <c r="F227" s="309"/>
      <c r="G227" s="244"/>
      <c r="H227" s="391"/>
      <c r="I227" s="391"/>
      <c r="J227" s="420">
        <f t="shared" si="17"/>
        <v>0</v>
      </c>
      <c r="K227" s="458"/>
      <c r="L227" s="459"/>
      <c r="M227" s="459"/>
      <c r="N227" s="459"/>
      <c r="O227" s="463"/>
      <c r="P227" s="464"/>
      <c r="Q227" s="25"/>
      <c r="R227" s="25"/>
      <c r="S227" s="25"/>
      <c r="T227" s="25"/>
      <c r="U227" s="25"/>
    </row>
    <row r="228" spans="1:21" hidden="1">
      <c r="A228" s="397"/>
      <c r="B228" s="429"/>
      <c r="C228" s="391"/>
      <c r="D228" s="391"/>
      <c r="E228" s="391"/>
      <c r="F228" s="309"/>
      <c r="G228" s="244"/>
      <c r="H228" s="391"/>
      <c r="I228" s="391"/>
      <c r="J228" s="420">
        <f t="shared" si="17"/>
        <v>0</v>
      </c>
      <c r="K228" s="458"/>
      <c r="L228" s="459"/>
      <c r="M228" s="459"/>
      <c r="N228" s="459"/>
      <c r="O228" s="463"/>
      <c r="P228" s="464"/>
      <c r="Q228" s="25"/>
      <c r="R228" s="25"/>
      <c r="S228" s="25"/>
      <c r="T228" s="25"/>
      <c r="U228" s="25"/>
    </row>
    <row r="229" spans="1:21" hidden="1">
      <c r="A229" s="397" t="s">
        <v>638</v>
      </c>
      <c r="B229" s="428"/>
      <c r="C229" s="307"/>
      <c r="D229" s="307"/>
      <c r="E229" s="307"/>
      <c r="F229" s="429"/>
      <c r="G229" s="431"/>
      <c r="H229" s="428"/>
      <c r="I229" s="428"/>
      <c r="J229" s="433"/>
      <c r="K229" s="453"/>
      <c r="L229" s="329"/>
      <c r="M229" s="329"/>
      <c r="N229" s="326"/>
      <c r="O229" s="326"/>
      <c r="P229" s="455"/>
      <c r="Q229" s="25"/>
      <c r="R229" s="25"/>
      <c r="S229" s="25"/>
      <c r="T229" s="25"/>
      <c r="U229" s="25"/>
    </row>
    <row r="230" spans="1:21">
      <c r="A230" s="395" t="s">
        <v>48</v>
      </c>
      <c r="B230" s="448">
        <v>0</v>
      </c>
      <c r="C230" s="307" t="s">
        <v>39</v>
      </c>
      <c r="D230" s="307"/>
      <c r="E230" s="307"/>
      <c r="F230" s="429"/>
      <c r="G230" s="431"/>
      <c r="H230" s="428"/>
      <c r="I230" s="428"/>
      <c r="J230" s="433"/>
      <c r="K230" s="461"/>
      <c r="L230" s="463"/>
      <c r="M230" s="463"/>
      <c r="N230" s="463"/>
      <c r="O230" s="463"/>
      <c r="P230" s="464"/>
      <c r="Q230" s="25"/>
      <c r="R230" s="25"/>
      <c r="S230" s="25"/>
      <c r="T230" s="25"/>
      <c r="U230" s="25"/>
    </row>
    <row r="231" spans="1:21" ht="26.25">
      <c r="A231" s="395" t="s">
        <v>1275</v>
      </c>
      <c r="B231" s="448">
        <v>0</v>
      </c>
      <c r="C231" s="307" t="s">
        <v>39</v>
      </c>
      <c r="D231" s="307"/>
      <c r="E231" s="307"/>
      <c r="F231" s="429"/>
      <c r="G231" s="431"/>
      <c r="H231" s="428"/>
      <c r="I231" s="428"/>
      <c r="J231" s="433"/>
      <c r="K231" s="461"/>
      <c r="L231" s="463"/>
      <c r="M231" s="463"/>
      <c r="N231" s="463"/>
      <c r="O231" s="463"/>
      <c r="P231" s="464"/>
      <c r="Q231" s="25"/>
      <c r="R231" s="25"/>
      <c r="S231" s="25"/>
      <c r="T231" s="25"/>
      <c r="U231" s="25"/>
    </row>
    <row r="232" spans="1:21">
      <c r="A232" s="395" t="s">
        <v>449</v>
      </c>
      <c r="B232" s="448">
        <v>0</v>
      </c>
      <c r="C232" s="307" t="s">
        <v>39</v>
      </c>
      <c r="D232" s="307"/>
      <c r="E232" s="307"/>
      <c r="F232" s="429"/>
      <c r="G232" s="431"/>
      <c r="H232" s="428"/>
      <c r="I232" s="428"/>
      <c r="J232" s="433"/>
      <c r="K232" s="461"/>
      <c r="L232" s="463"/>
      <c r="M232" s="463"/>
      <c r="N232" s="463"/>
      <c r="O232" s="463"/>
      <c r="P232" s="464"/>
      <c r="Q232" s="25"/>
      <c r="R232" s="25"/>
      <c r="S232" s="25"/>
      <c r="T232" s="25"/>
      <c r="U232" s="25"/>
    </row>
    <row r="233" spans="1:21">
      <c r="A233" s="397"/>
      <c r="B233" s="429"/>
      <c r="C233" s="307"/>
      <c r="D233" s="307"/>
      <c r="E233" s="307"/>
      <c r="F233" s="484"/>
      <c r="G233" s="431"/>
      <c r="H233" s="428"/>
      <c r="I233" s="428"/>
      <c r="J233" s="420"/>
      <c r="K233" s="461"/>
      <c r="L233" s="463"/>
      <c r="M233" s="463"/>
      <c r="N233" s="463"/>
      <c r="O233" s="463"/>
      <c r="P233" s="464"/>
      <c r="Q233" s="25"/>
      <c r="R233" s="25"/>
      <c r="S233" s="25"/>
      <c r="T233" s="25"/>
      <c r="U233" s="25"/>
    </row>
    <row r="234" spans="1:21">
      <c r="A234" s="397" t="s">
        <v>49</v>
      </c>
      <c r="B234" s="448">
        <v>0</v>
      </c>
      <c r="C234" s="307" t="s">
        <v>39</v>
      </c>
      <c r="D234" s="307"/>
      <c r="E234" s="307"/>
      <c r="F234" s="484"/>
      <c r="G234" s="431"/>
      <c r="H234" s="428"/>
      <c r="I234" s="428"/>
      <c r="J234" s="420"/>
      <c r="K234" s="461"/>
      <c r="L234" s="463"/>
      <c r="M234" s="463"/>
      <c r="N234" s="463"/>
      <c r="O234" s="463"/>
      <c r="P234" s="464"/>
      <c r="Q234" s="25"/>
      <c r="R234" s="25"/>
      <c r="S234" s="25"/>
      <c r="T234" s="25"/>
      <c r="U234" s="25"/>
    </row>
    <row r="235" spans="1:21" hidden="1">
      <c r="A235" s="395" t="s">
        <v>1155</v>
      </c>
      <c r="B235" s="472">
        <f>SUM(B35:B75,B230:B232,B234)</f>
        <v>0</v>
      </c>
      <c r="C235" s="307" t="s">
        <v>39</v>
      </c>
      <c r="D235" s="307"/>
      <c r="E235" s="307"/>
      <c r="F235" s="484"/>
      <c r="G235" s="431"/>
      <c r="H235" s="428"/>
      <c r="I235" s="428"/>
      <c r="J235" s="420"/>
      <c r="K235" s="461"/>
      <c r="L235" s="463"/>
      <c r="M235" s="463"/>
      <c r="N235" s="463"/>
      <c r="O235" s="463"/>
      <c r="P235" s="464"/>
      <c r="Q235" s="25"/>
      <c r="R235" s="25"/>
      <c r="S235" s="25"/>
      <c r="T235" s="25"/>
      <c r="U235" s="25"/>
    </row>
    <row r="236" spans="1:21">
      <c r="A236" s="395"/>
      <c r="B236" s="429"/>
      <c r="C236" s="307"/>
      <c r="D236" s="307"/>
      <c r="E236" s="307"/>
      <c r="F236" s="484"/>
      <c r="G236" s="431"/>
      <c r="H236" s="428"/>
      <c r="I236" s="428"/>
      <c r="J236" s="420"/>
      <c r="K236" s="461"/>
      <c r="L236" s="463"/>
      <c r="M236" s="463"/>
      <c r="N236" s="463"/>
      <c r="O236" s="463"/>
      <c r="P236" s="464"/>
      <c r="Q236" s="25"/>
      <c r="R236" s="25"/>
      <c r="S236" s="25"/>
      <c r="T236" s="25"/>
      <c r="U236" s="25"/>
    </row>
    <row r="237" spans="1:21">
      <c r="A237" s="397" t="s">
        <v>643</v>
      </c>
      <c r="B237" s="429"/>
      <c r="C237" s="307"/>
      <c r="D237" s="307"/>
      <c r="E237" s="307"/>
      <c r="F237" s="484"/>
      <c r="G237" s="431"/>
      <c r="H237" s="428"/>
      <c r="I237" s="428"/>
      <c r="J237" s="420"/>
      <c r="K237" s="453"/>
      <c r="L237" s="329"/>
      <c r="M237" s="329"/>
      <c r="N237" s="326"/>
      <c r="O237" s="326"/>
      <c r="P237" s="455"/>
      <c r="Q237" s="25"/>
      <c r="R237" s="25"/>
      <c r="S237" s="25"/>
      <c r="T237" s="25"/>
      <c r="U237" s="25"/>
    </row>
    <row r="238" spans="1:21">
      <c r="A238" s="395" t="s">
        <v>1799</v>
      </c>
      <c r="B238" s="473">
        <f>SUM(B35:B99)</f>
        <v>0</v>
      </c>
      <c r="C238" s="307" t="s">
        <v>39</v>
      </c>
      <c r="D238" s="307"/>
      <c r="E238" s="307"/>
      <c r="F238" s="484"/>
      <c r="G238" s="431"/>
      <c r="H238" s="428"/>
      <c r="I238" s="428"/>
      <c r="J238" s="420"/>
      <c r="K238" s="453"/>
      <c r="L238" s="329"/>
      <c r="M238" s="329"/>
      <c r="N238" s="326"/>
      <c r="O238" s="326"/>
      <c r="P238" s="455"/>
      <c r="Q238" s="25"/>
      <c r="R238" s="25"/>
      <c r="S238" s="25"/>
      <c r="T238" s="25"/>
      <c r="U238" s="25"/>
    </row>
    <row r="239" spans="1:21">
      <c r="A239" s="395" t="s">
        <v>1800</v>
      </c>
      <c r="B239" s="473">
        <f>SUM(B101:B110)</f>
        <v>0</v>
      </c>
      <c r="C239" s="307" t="s">
        <v>39</v>
      </c>
      <c r="D239" s="307"/>
      <c r="E239" s="307"/>
      <c r="F239" s="484"/>
      <c r="G239" s="431"/>
      <c r="H239" s="428"/>
      <c r="I239" s="428"/>
      <c r="J239" s="420"/>
      <c r="K239" s="453"/>
      <c r="L239" s="329"/>
      <c r="M239" s="329"/>
      <c r="N239" s="326"/>
      <c r="O239" s="326"/>
      <c r="P239" s="455"/>
      <c r="Q239" s="25"/>
      <c r="R239" s="25"/>
      <c r="S239" s="25"/>
      <c r="T239" s="25"/>
      <c r="U239" s="25"/>
    </row>
    <row r="240" spans="1:21">
      <c r="A240" s="395" t="s">
        <v>1387</v>
      </c>
      <c r="B240" s="473">
        <f>B153+SUM(B69:B75)</f>
        <v>0</v>
      </c>
      <c r="C240" s="307" t="s">
        <v>39</v>
      </c>
      <c r="D240" s="307"/>
      <c r="E240" s="307"/>
      <c r="F240" s="484"/>
      <c r="G240" s="431"/>
      <c r="H240" s="428"/>
      <c r="I240" s="428"/>
      <c r="J240" s="420"/>
      <c r="K240" s="453"/>
      <c r="L240" s="329"/>
      <c r="M240" s="329"/>
      <c r="N240" s="326"/>
      <c r="O240" s="326"/>
      <c r="P240" s="455"/>
      <c r="Q240" s="25"/>
      <c r="R240" s="25"/>
      <c r="S240" s="25"/>
      <c r="T240" s="25"/>
      <c r="U240" s="25"/>
    </row>
    <row r="241" spans="1:21">
      <c r="A241" s="395" t="s">
        <v>638</v>
      </c>
      <c r="B241" s="473">
        <f>SUM(B230:B232)</f>
        <v>0</v>
      </c>
      <c r="C241" s="307" t="s">
        <v>39</v>
      </c>
      <c r="D241" s="307"/>
      <c r="E241" s="307"/>
      <c r="F241" s="484"/>
      <c r="G241" s="431"/>
      <c r="H241" s="428"/>
      <c r="I241" s="428"/>
      <c r="J241" s="420"/>
      <c r="K241" s="453"/>
      <c r="L241" s="329"/>
      <c r="M241" s="329"/>
      <c r="N241" s="326"/>
      <c r="O241" s="326"/>
      <c r="P241" s="455"/>
      <c r="Q241" s="25"/>
      <c r="R241" s="25"/>
      <c r="S241" s="25"/>
      <c r="T241" s="25"/>
      <c r="U241" s="25"/>
    </row>
    <row r="242" spans="1:21" ht="15.75" thickBot="1">
      <c r="A242" s="434" t="s">
        <v>50</v>
      </c>
      <c r="B242" s="485">
        <f>B234</f>
        <v>0</v>
      </c>
      <c r="C242" s="436" t="s">
        <v>39</v>
      </c>
      <c r="D242" s="436"/>
      <c r="E242" s="436"/>
      <c r="F242" s="486"/>
      <c r="G242" s="438"/>
      <c r="H242" s="439"/>
      <c r="I242" s="439"/>
      <c r="J242" s="487"/>
      <c r="K242" s="465"/>
      <c r="L242" s="551"/>
      <c r="M242" s="551"/>
      <c r="N242" s="466"/>
      <c r="O242" s="466"/>
      <c r="P242" s="467"/>
      <c r="Q242" s="25"/>
      <c r="R242" s="25"/>
      <c r="S242" s="25"/>
      <c r="T242" s="25"/>
      <c r="U242" s="25"/>
    </row>
    <row r="243" spans="1:21" ht="26.25" thickBot="1">
      <c r="A243" s="412" t="s">
        <v>1678</v>
      </c>
      <c r="B243" s="413"/>
      <c r="C243" s="414"/>
      <c r="D243" s="415"/>
      <c r="E243" s="414"/>
      <c r="F243" s="416"/>
      <c r="G243" s="417"/>
      <c r="H243" s="415" t="s">
        <v>1652</v>
      </c>
      <c r="I243" s="414"/>
      <c r="J243" s="414"/>
      <c r="K243" s="449" t="s">
        <v>1654</v>
      </c>
      <c r="L243" s="450" t="s">
        <v>391</v>
      </c>
      <c r="M243" s="450" t="s">
        <v>249</v>
      </c>
      <c r="N243" s="451" t="s">
        <v>397</v>
      </c>
      <c r="O243" s="451" t="s">
        <v>398</v>
      </c>
      <c r="P243" s="452" t="s">
        <v>399</v>
      </c>
      <c r="Q243" s="25"/>
      <c r="R243" s="25"/>
      <c r="S243" s="25"/>
      <c r="T243" s="25"/>
      <c r="U243" s="25"/>
    </row>
    <row r="244" spans="1:21">
      <c r="A244" s="395" t="s">
        <v>443</v>
      </c>
      <c r="B244" s="489"/>
      <c r="C244" s="488"/>
      <c r="D244" s="488"/>
      <c r="E244" s="488"/>
      <c r="F244" s="489"/>
      <c r="G244" s="431"/>
      <c r="H244" s="331">
        <v>0</v>
      </c>
      <c r="I244" s="35"/>
      <c r="J244" s="420"/>
      <c r="K244" s="907">
        <f>11900*0.88</f>
        <v>10472</v>
      </c>
      <c r="L244" s="908">
        <f t="shared" ref="L244:L251" si="18">K244*H244</f>
        <v>0</v>
      </c>
      <c r="M244" s="908"/>
      <c r="N244" s="326">
        <v>12.65</v>
      </c>
      <c r="O244" s="326">
        <v>2.93</v>
      </c>
      <c r="P244" s="455">
        <v>3.61</v>
      </c>
      <c r="Q244" s="25"/>
      <c r="R244" s="25"/>
      <c r="S244" s="25"/>
      <c r="T244" s="25"/>
      <c r="U244" s="25"/>
    </row>
    <row r="245" spans="1:21">
      <c r="A245" s="395" t="s">
        <v>444</v>
      </c>
      <c r="B245" s="489"/>
      <c r="C245" s="488"/>
      <c r="D245" s="488"/>
      <c r="E245" s="488"/>
      <c r="F245" s="489"/>
      <c r="G245" s="431"/>
      <c r="H245" s="331">
        <v>0</v>
      </c>
      <c r="I245" s="35"/>
      <c r="J245" s="420"/>
      <c r="K245" s="907">
        <f>13700*0.86</f>
        <v>11782</v>
      </c>
      <c r="L245" s="908">
        <f t="shared" si="18"/>
        <v>0</v>
      </c>
      <c r="M245" s="908"/>
      <c r="N245" s="326">
        <v>12.65</v>
      </c>
      <c r="O245" s="326">
        <v>2.93</v>
      </c>
      <c r="P245" s="455">
        <v>3.61</v>
      </c>
      <c r="Q245" s="25"/>
      <c r="R245" s="25"/>
      <c r="S245" s="25"/>
      <c r="T245" s="25"/>
      <c r="U245" s="25"/>
    </row>
    <row r="246" spans="1:21">
      <c r="A246" s="395" t="s">
        <v>400</v>
      </c>
      <c r="B246" s="489"/>
      <c r="C246" s="488"/>
      <c r="D246" s="488"/>
      <c r="E246" s="488"/>
      <c r="F246" s="489"/>
      <c r="G246" s="431"/>
      <c r="H246" s="331">
        <v>0</v>
      </c>
      <c r="I246" s="35"/>
      <c r="J246" s="420"/>
      <c r="K246" s="907">
        <f>13300*0.84</f>
        <v>11172</v>
      </c>
      <c r="L246" s="908">
        <f t="shared" si="18"/>
        <v>0</v>
      </c>
      <c r="M246" s="908"/>
      <c r="N246" s="326">
        <v>17</v>
      </c>
      <c r="O246" s="326">
        <v>2.97</v>
      </c>
      <c r="P246" s="455">
        <v>3.53</v>
      </c>
      <c r="Q246" s="25"/>
      <c r="R246" s="25"/>
      <c r="S246" s="25"/>
      <c r="T246" s="25"/>
      <c r="U246" s="25"/>
    </row>
    <row r="247" spans="1:21">
      <c r="A247" s="395" t="s">
        <v>401</v>
      </c>
      <c r="B247" s="489"/>
      <c r="C247" s="488"/>
      <c r="D247" s="488"/>
      <c r="E247" s="488"/>
      <c r="F247" s="489"/>
      <c r="G247" s="431"/>
      <c r="H247" s="331">
        <v>0</v>
      </c>
      <c r="I247" s="35"/>
      <c r="J247" s="420"/>
      <c r="K247" s="907">
        <f>12100*0.86</f>
        <v>10406</v>
      </c>
      <c r="L247" s="908">
        <f t="shared" si="18"/>
        <v>0</v>
      </c>
      <c r="M247" s="908"/>
      <c r="N247" s="326">
        <v>14.45</v>
      </c>
      <c r="O247" s="326">
        <v>2.97</v>
      </c>
      <c r="P247" s="455">
        <v>3.63</v>
      </c>
      <c r="Q247" s="25"/>
      <c r="R247" s="25"/>
      <c r="S247" s="25"/>
      <c r="T247" s="25"/>
      <c r="U247" s="25"/>
    </row>
    <row r="248" spans="1:21">
      <c r="A248" s="395" t="s">
        <v>402</v>
      </c>
      <c r="B248" s="489"/>
      <c r="C248" s="488"/>
      <c r="D248" s="488"/>
      <c r="E248" s="488"/>
      <c r="F248" s="489"/>
      <c r="G248" s="431"/>
      <c r="H248" s="331">
        <v>0</v>
      </c>
      <c r="I248" s="35"/>
      <c r="J248" s="420"/>
      <c r="K248" s="907">
        <f>14000*0.87</f>
        <v>12180</v>
      </c>
      <c r="L248" s="908">
        <f t="shared" si="18"/>
        <v>0</v>
      </c>
      <c r="M248" s="908"/>
      <c r="N248" s="326">
        <v>12.75</v>
      </c>
      <c r="O248" s="326">
        <v>2.93</v>
      </c>
      <c r="P248" s="455">
        <v>3.53</v>
      </c>
      <c r="Q248" s="25"/>
      <c r="R248" s="25"/>
      <c r="S248" s="25"/>
      <c r="T248" s="25"/>
      <c r="U248" s="25"/>
    </row>
    <row r="249" spans="1:21">
      <c r="A249" s="395" t="s">
        <v>40</v>
      </c>
      <c r="B249" s="489"/>
      <c r="C249" s="307"/>
      <c r="D249" s="307"/>
      <c r="E249" s="307"/>
      <c r="F249" s="484"/>
      <c r="G249" s="431"/>
      <c r="H249" s="331">
        <v>0</v>
      </c>
      <c r="I249" s="35"/>
      <c r="J249" s="420"/>
      <c r="K249" s="907">
        <f>14000*0.87</f>
        <v>12180</v>
      </c>
      <c r="L249" s="908">
        <f t="shared" si="18"/>
        <v>0</v>
      </c>
      <c r="M249" s="908"/>
      <c r="N249" s="326">
        <v>17</v>
      </c>
      <c r="O249" s="326">
        <v>9</v>
      </c>
      <c r="P249" s="455">
        <v>6</v>
      </c>
      <c r="Q249" s="25"/>
      <c r="R249" s="25"/>
      <c r="S249" s="25"/>
      <c r="T249" s="25"/>
      <c r="U249" s="25"/>
    </row>
    <row r="250" spans="1:21">
      <c r="A250" s="395" t="s">
        <v>203</v>
      </c>
      <c r="B250" s="489"/>
      <c r="C250" s="307"/>
      <c r="D250" s="307"/>
      <c r="E250" s="307"/>
      <c r="F250" s="484"/>
      <c r="G250" s="431"/>
      <c r="H250" s="331">
        <v>0</v>
      </c>
      <c r="I250" s="35"/>
      <c r="J250" s="420"/>
      <c r="K250" s="907">
        <f>13500*0.87</f>
        <v>11745</v>
      </c>
      <c r="L250" s="908">
        <f t="shared" si="18"/>
        <v>0</v>
      </c>
      <c r="M250" s="908"/>
      <c r="N250" s="326">
        <v>54</v>
      </c>
      <c r="O250" s="326">
        <v>7.85</v>
      </c>
      <c r="P250" s="455">
        <v>26.04</v>
      </c>
      <c r="Q250" s="25"/>
      <c r="R250" s="25"/>
      <c r="S250" s="25"/>
      <c r="T250" s="25"/>
      <c r="U250" s="25"/>
    </row>
    <row r="251" spans="1:21">
      <c r="A251" s="395" t="s">
        <v>218</v>
      </c>
      <c r="B251" s="489"/>
      <c r="C251" s="307"/>
      <c r="D251" s="307"/>
      <c r="E251" s="307"/>
      <c r="F251" s="484"/>
      <c r="G251" s="431"/>
      <c r="H251" s="331">
        <v>0</v>
      </c>
      <c r="I251" s="35"/>
      <c r="J251" s="420"/>
      <c r="K251" s="907">
        <f>13100*0.85</f>
        <v>11135</v>
      </c>
      <c r="L251" s="908">
        <f t="shared" si="18"/>
        <v>0</v>
      </c>
      <c r="M251" s="908"/>
      <c r="N251" s="326">
        <v>55.94</v>
      </c>
      <c r="O251" s="326">
        <v>7.85</v>
      </c>
      <c r="P251" s="455">
        <v>33.57</v>
      </c>
      <c r="Q251" s="25"/>
      <c r="R251" s="25"/>
      <c r="S251" s="25"/>
      <c r="T251" s="25"/>
      <c r="U251" s="25"/>
    </row>
    <row r="252" spans="1:21">
      <c r="A252" s="395" t="s">
        <v>403</v>
      </c>
      <c r="B252" s="489"/>
      <c r="C252" s="307"/>
      <c r="D252" s="307"/>
      <c r="E252" s="307"/>
      <c r="F252" s="484"/>
      <c r="G252" s="431"/>
      <c r="H252" s="331">
        <v>0</v>
      </c>
      <c r="I252" s="35"/>
      <c r="J252" s="420"/>
      <c r="K252" s="907" t="s">
        <v>248</v>
      </c>
      <c r="L252" s="908" t="s">
        <v>248</v>
      </c>
      <c r="M252" s="908"/>
      <c r="N252" s="326">
        <v>3</v>
      </c>
      <c r="O252" s="326">
        <v>2</v>
      </c>
      <c r="P252" s="455">
        <v>8</v>
      </c>
      <c r="Q252" s="25"/>
      <c r="R252" s="25"/>
      <c r="S252" s="25"/>
      <c r="T252" s="25"/>
      <c r="U252" s="25"/>
    </row>
    <row r="253" spans="1:21">
      <c r="A253" s="395" t="s">
        <v>41</v>
      </c>
      <c r="B253" s="484"/>
      <c r="C253" s="307"/>
      <c r="D253" s="307"/>
      <c r="E253" s="307"/>
      <c r="F253" s="484"/>
      <c r="G253" s="431"/>
      <c r="H253" s="331">
        <v>0</v>
      </c>
      <c r="I253" s="35"/>
      <c r="J253" s="420"/>
      <c r="K253" s="907">
        <f>K46</f>
        <v>2680</v>
      </c>
      <c r="L253" s="908">
        <f>K253*H253</f>
        <v>0</v>
      </c>
      <c r="M253" s="908"/>
      <c r="N253" s="326">
        <v>2.7</v>
      </c>
      <c r="O253" s="326">
        <f>0.6/2.291</f>
        <v>0.26189436927106069</v>
      </c>
      <c r="P253" s="455">
        <f>4.92/1.205</f>
        <v>4.0829875518672196</v>
      </c>
      <c r="Q253" s="25"/>
      <c r="R253" s="25"/>
      <c r="S253" s="25"/>
      <c r="T253" s="25"/>
      <c r="U253" s="25"/>
    </row>
    <row r="254" spans="1:21">
      <c r="A254" s="395" t="s">
        <v>604</v>
      </c>
      <c r="B254" s="489"/>
      <c r="C254" s="307"/>
      <c r="D254" s="307"/>
      <c r="E254" s="307"/>
      <c r="F254" s="484"/>
      <c r="G254" s="431"/>
      <c r="H254" s="331">
        <v>0</v>
      </c>
      <c r="I254" s="35"/>
      <c r="J254" s="420"/>
      <c r="K254" s="907" t="s">
        <v>248</v>
      </c>
      <c r="L254" s="908" t="s">
        <v>248</v>
      </c>
      <c r="M254" s="908"/>
      <c r="N254" s="326">
        <v>1</v>
      </c>
      <c r="O254" s="326">
        <v>2</v>
      </c>
      <c r="P254" s="455">
        <v>8</v>
      </c>
      <c r="Q254" s="25"/>
      <c r="R254" s="25"/>
      <c r="S254" s="25"/>
      <c r="T254" s="25"/>
      <c r="U254" s="25"/>
    </row>
    <row r="255" spans="1:21">
      <c r="A255" s="395" t="s">
        <v>450</v>
      </c>
      <c r="B255" s="489"/>
      <c r="C255" s="307"/>
      <c r="D255" s="307"/>
      <c r="E255" s="307"/>
      <c r="F255" s="484"/>
      <c r="G255" s="431"/>
      <c r="H255" s="331">
        <v>0</v>
      </c>
      <c r="I255" s="35"/>
      <c r="J255" s="420"/>
      <c r="K255" s="907">
        <f>K62</f>
        <v>1674</v>
      </c>
      <c r="L255" s="908">
        <f>K255*H255</f>
        <v>0</v>
      </c>
      <c r="M255" s="908"/>
      <c r="N255" s="326">
        <f>N62</f>
        <v>3</v>
      </c>
      <c r="O255" s="326">
        <f>O62</f>
        <v>0.43649061545176782</v>
      </c>
      <c r="P255" s="455">
        <f>P62</f>
        <v>3.3195020746887964</v>
      </c>
      <c r="Q255" s="25"/>
      <c r="R255" s="25"/>
      <c r="S255" s="25"/>
      <c r="T255" s="25"/>
      <c r="U255" s="25"/>
    </row>
    <row r="256" spans="1:21">
      <c r="A256" s="395" t="s">
        <v>198</v>
      </c>
      <c r="B256" s="489"/>
      <c r="C256" s="307"/>
      <c r="D256" s="307"/>
      <c r="E256" s="307"/>
      <c r="F256" s="484"/>
      <c r="G256" s="431"/>
      <c r="H256" s="331">
        <v>0</v>
      </c>
      <c r="I256" s="35"/>
      <c r="J256" s="420"/>
      <c r="K256" s="907" t="s">
        <v>248</v>
      </c>
      <c r="L256" s="908" t="s">
        <v>248</v>
      </c>
      <c r="M256" s="908"/>
      <c r="N256" s="326">
        <v>3</v>
      </c>
      <c r="O256" s="326">
        <v>2</v>
      </c>
      <c r="P256" s="455">
        <v>8</v>
      </c>
      <c r="Q256" s="25"/>
      <c r="R256" s="25"/>
      <c r="S256" s="25"/>
      <c r="T256" s="25"/>
      <c r="U256" s="25"/>
    </row>
    <row r="257" spans="1:21" ht="15.75" thickBot="1">
      <c r="A257" s="434" t="s">
        <v>451</v>
      </c>
      <c r="B257" s="439"/>
      <c r="C257" s="436"/>
      <c r="D257" s="436"/>
      <c r="E257" s="436"/>
      <c r="F257" s="486"/>
      <c r="G257" s="438"/>
      <c r="H257" s="490">
        <v>0</v>
      </c>
      <c r="I257" s="491"/>
      <c r="J257" s="487"/>
      <c r="K257" s="920">
        <f>AVERAGE(K244:K256)</f>
        <v>9542.6</v>
      </c>
      <c r="L257" s="921">
        <f>K257*H257</f>
        <v>0</v>
      </c>
      <c r="M257" s="921"/>
      <c r="N257" s="466">
        <f>AVERAGE(N244:N249,N252:N256)</f>
        <v>9.0181818181818176</v>
      </c>
      <c r="O257" s="466">
        <f>AVERAGE(O244:O249,O252:O256)</f>
        <v>2.7662168167929844</v>
      </c>
      <c r="P257" s="467">
        <f>AVERAGE(P244:P249,P252:P256)</f>
        <v>5.0284081478687286</v>
      </c>
      <c r="Q257" s="25"/>
      <c r="R257" s="25"/>
      <c r="S257" s="25"/>
      <c r="T257" s="25"/>
      <c r="U257" s="25"/>
    </row>
    <row r="258" spans="1:21" ht="28.5" customHeight="1" thickBot="1">
      <c r="A258" s="412" t="s">
        <v>1660</v>
      </c>
      <c r="B258" s="413"/>
      <c r="C258" s="414"/>
      <c r="D258" s="415"/>
      <c r="E258" s="414"/>
      <c r="F258" s="416"/>
      <c r="G258" s="417"/>
      <c r="H258" s="415" t="s">
        <v>1652</v>
      </c>
      <c r="I258" s="415" t="s">
        <v>1653</v>
      </c>
      <c r="J258" s="414"/>
      <c r="K258" s="449" t="s">
        <v>1654</v>
      </c>
      <c r="L258" s="450" t="s">
        <v>391</v>
      </c>
      <c r="M258" s="450" t="s">
        <v>249</v>
      </c>
      <c r="N258" s="451" t="s">
        <v>397</v>
      </c>
      <c r="O258" s="451" t="s">
        <v>398</v>
      </c>
      <c r="P258" s="452" t="s">
        <v>399</v>
      </c>
      <c r="Q258" s="25"/>
      <c r="R258" s="25"/>
      <c r="S258" s="25"/>
      <c r="T258" s="25"/>
      <c r="U258" s="25"/>
    </row>
    <row r="259" spans="1:21" s="272" customFormat="1">
      <c r="A259" s="395" t="s">
        <v>209</v>
      </c>
      <c r="B259" s="528"/>
      <c r="C259" s="492"/>
      <c r="D259" s="492"/>
      <c r="E259" s="492"/>
      <c r="F259" s="493"/>
      <c r="G259" s="494"/>
      <c r="H259" s="331">
        <v>0</v>
      </c>
      <c r="I259" s="331">
        <v>0</v>
      </c>
      <c r="J259" s="420"/>
      <c r="K259" s="907">
        <f>9200*0.85</f>
        <v>7820</v>
      </c>
      <c r="L259" s="908">
        <f t="shared" ref="L259:L268" si="19">H259*K259</f>
        <v>0</v>
      </c>
      <c r="M259" s="908">
        <f t="shared" ref="M259:M268" si="20">I259*K259</f>
        <v>0</v>
      </c>
      <c r="N259" s="329">
        <v>14.9</v>
      </c>
      <c r="O259" s="329">
        <v>2.2000000000000002</v>
      </c>
      <c r="P259" s="639">
        <v>17.899999999999999</v>
      </c>
    </row>
    <row r="260" spans="1:21">
      <c r="A260" s="395" t="s">
        <v>210</v>
      </c>
      <c r="B260" s="428"/>
      <c r="C260" s="307"/>
      <c r="D260" s="307"/>
      <c r="E260" s="307"/>
      <c r="F260" s="484"/>
      <c r="G260" s="431"/>
      <c r="H260" s="331">
        <v>0</v>
      </c>
      <c r="I260" s="331">
        <v>0</v>
      </c>
      <c r="J260" s="420"/>
      <c r="K260" s="907">
        <f>10700*0.92</f>
        <v>9844</v>
      </c>
      <c r="L260" s="908">
        <f t="shared" si="19"/>
        <v>0</v>
      </c>
      <c r="M260" s="908">
        <f t="shared" si="20"/>
        <v>0</v>
      </c>
      <c r="N260" s="326">
        <v>28</v>
      </c>
      <c r="O260" s="326">
        <v>3.2</v>
      </c>
      <c r="P260" s="455">
        <v>24.2</v>
      </c>
      <c r="Q260" s="25"/>
      <c r="R260" s="25"/>
      <c r="S260" s="25"/>
      <c r="T260" s="25"/>
      <c r="U260" s="25"/>
    </row>
    <row r="261" spans="1:21">
      <c r="A261" s="395" t="s">
        <v>409</v>
      </c>
      <c r="B261" s="428"/>
      <c r="C261" s="307"/>
      <c r="D261" s="307"/>
      <c r="E261" s="307"/>
      <c r="F261" s="484"/>
      <c r="G261" s="431"/>
      <c r="H261" s="331">
        <v>0</v>
      </c>
      <c r="I261" s="331">
        <v>0</v>
      </c>
      <c r="J261" s="420"/>
      <c r="K261" s="907">
        <f>9800*0.23</f>
        <v>2254</v>
      </c>
      <c r="L261" s="908">
        <f t="shared" si="19"/>
        <v>0</v>
      </c>
      <c r="M261" s="908">
        <f t="shared" si="20"/>
        <v>0</v>
      </c>
      <c r="N261" s="326">
        <v>6.9</v>
      </c>
      <c r="O261" s="326">
        <v>0.8</v>
      </c>
      <c r="P261" s="455">
        <v>6.6</v>
      </c>
      <c r="Q261" s="25"/>
      <c r="R261" s="25"/>
      <c r="S261" s="25"/>
      <c r="T261" s="25"/>
      <c r="U261" s="25"/>
    </row>
    <row r="262" spans="1:21">
      <c r="A262" s="395" t="s">
        <v>410</v>
      </c>
      <c r="B262" s="428"/>
      <c r="C262" s="307"/>
      <c r="D262" s="307"/>
      <c r="E262" s="307"/>
      <c r="F262" s="484"/>
      <c r="G262" s="431"/>
      <c r="H262" s="331">
        <v>0</v>
      </c>
      <c r="I262" s="331">
        <v>0</v>
      </c>
      <c r="J262" s="420"/>
      <c r="K262" s="907">
        <f>11000*0.25</f>
        <v>2750</v>
      </c>
      <c r="L262" s="908">
        <f t="shared" si="19"/>
        <v>0</v>
      </c>
      <c r="M262" s="908">
        <f t="shared" si="20"/>
        <v>0</v>
      </c>
      <c r="N262" s="326">
        <v>6.9</v>
      </c>
      <c r="O262" s="326">
        <v>0.8</v>
      </c>
      <c r="P262" s="455">
        <v>6.6</v>
      </c>
      <c r="Q262" s="25"/>
      <c r="R262" s="25"/>
      <c r="S262" s="25"/>
      <c r="T262" s="25"/>
      <c r="U262" s="25"/>
    </row>
    <row r="263" spans="1:21">
      <c r="A263" s="395" t="s">
        <v>1147</v>
      </c>
      <c r="B263" s="428"/>
      <c r="C263" s="307"/>
      <c r="D263" s="307"/>
      <c r="E263" s="307"/>
      <c r="F263" s="484"/>
      <c r="G263" s="431"/>
      <c r="H263" s="331">
        <v>0</v>
      </c>
      <c r="I263" s="331">
        <v>0</v>
      </c>
      <c r="J263" s="420"/>
      <c r="K263" s="907">
        <v>2472</v>
      </c>
      <c r="L263" s="908">
        <f t="shared" si="19"/>
        <v>0</v>
      </c>
      <c r="M263" s="908">
        <f t="shared" si="20"/>
        <v>0</v>
      </c>
      <c r="N263" s="326">
        <v>5.5</v>
      </c>
      <c r="O263" s="326">
        <v>0.6</v>
      </c>
      <c r="P263" s="455">
        <v>5</v>
      </c>
      <c r="Q263" s="25"/>
      <c r="R263" s="25"/>
      <c r="S263" s="25"/>
      <c r="T263" s="25"/>
      <c r="U263" s="25"/>
    </row>
    <row r="264" spans="1:21">
      <c r="A264" s="395" t="s">
        <v>411</v>
      </c>
      <c r="B264" s="428"/>
      <c r="C264" s="307"/>
      <c r="D264" s="307"/>
      <c r="E264" s="307"/>
      <c r="F264" s="484"/>
      <c r="G264" s="431"/>
      <c r="H264" s="331">
        <v>0</v>
      </c>
      <c r="I264" s="331">
        <v>0</v>
      </c>
      <c r="J264" s="420"/>
      <c r="K264" s="907">
        <f>8000*0.34</f>
        <v>2720</v>
      </c>
      <c r="L264" s="908">
        <f t="shared" si="19"/>
        <v>0</v>
      </c>
      <c r="M264" s="908">
        <f t="shared" si="20"/>
        <v>0</v>
      </c>
      <c r="N264" s="326">
        <v>6.2</v>
      </c>
      <c r="O264" s="326">
        <v>0.6</v>
      </c>
      <c r="P264" s="455">
        <v>5</v>
      </c>
      <c r="Q264" s="25"/>
      <c r="R264" s="25"/>
      <c r="S264" s="25"/>
      <c r="T264" s="25"/>
      <c r="U264" s="25"/>
    </row>
    <row r="265" spans="1:21">
      <c r="A265" s="395" t="s">
        <v>605</v>
      </c>
      <c r="B265" s="428"/>
      <c r="C265" s="307"/>
      <c r="D265" s="307"/>
      <c r="E265" s="307"/>
      <c r="F265" s="484"/>
      <c r="G265" s="431"/>
      <c r="H265" s="331">
        <v>0</v>
      </c>
      <c r="I265" s="331">
        <v>0</v>
      </c>
      <c r="J265" s="420"/>
      <c r="K265" s="907">
        <v>4260</v>
      </c>
      <c r="L265" s="908">
        <f t="shared" si="19"/>
        <v>0</v>
      </c>
      <c r="M265" s="908">
        <f t="shared" si="20"/>
        <v>0</v>
      </c>
      <c r="N265" s="326">
        <v>6</v>
      </c>
      <c r="O265" s="326">
        <f>1.5/2.291</f>
        <v>0.65473592317765172</v>
      </c>
      <c r="P265" s="455">
        <f>5/1.205</f>
        <v>4.1493775933609953</v>
      </c>
      <c r="Q265" s="25"/>
      <c r="R265" s="25"/>
      <c r="S265" s="25"/>
      <c r="T265" s="25"/>
      <c r="U265" s="25"/>
    </row>
    <row r="266" spans="1:21">
      <c r="A266" s="395" t="s">
        <v>639</v>
      </c>
      <c r="B266" s="428"/>
      <c r="C266" s="307"/>
      <c r="D266" s="307"/>
      <c r="E266" s="307"/>
      <c r="F266" s="484"/>
      <c r="G266" s="431"/>
      <c r="H266" s="331">
        <v>0</v>
      </c>
      <c r="I266" s="331">
        <v>0</v>
      </c>
      <c r="J266" s="420"/>
      <c r="K266" s="907">
        <v>2509</v>
      </c>
      <c r="L266" s="908">
        <f t="shared" si="19"/>
        <v>0</v>
      </c>
      <c r="M266" s="908">
        <f t="shared" si="20"/>
        <v>0</v>
      </c>
      <c r="N266" s="326">
        <v>6</v>
      </c>
      <c r="O266" s="326">
        <f>1.5/2.291</f>
        <v>0.65473592317765172</v>
      </c>
      <c r="P266" s="455">
        <f>5/1.205</f>
        <v>4.1493775933609953</v>
      </c>
      <c r="Q266" s="25"/>
      <c r="R266" s="25"/>
      <c r="S266" s="25"/>
      <c r="T266" s="25"/>
      <c r="U266" s="25"/>
    </row>
    <row r="267" spans="1:21">
      <c r="A267" s="395" t="s">
        <v>606</v>
      </c>
      <c r="B267" s="428"/>
      <c r="C267" s="307"/>
      <c r="D267" s="307"/>
      <c r="E267" s="307"/>
      <c r="F267" s="484"/>
      <c r="G267" s="431"/>
      <c r="H267" s="331">
        <v>0</v>
      </c>
      <c r="I267" s="331">
        <v>0</v>
      </c>
      <c r="J267" s="420"/>
      <c r="K267" s="907">
        <v>3045</v>
      </c>
      <c r="L267" s="908">
        <f t="shared" si="19"/>
        <v>0</v>
      </c>
      <c r="M267" s="908">
        <f t="shared" si="20"/>
        <v>0</v>
      </c>
      <c r="N267" s="326">
        <v>6</v>
      </c>
      <c r="O267" s="326">
        <f>1.5/2.291</f>
        <v>0.65473592317765172</v>
      </c>
      <c r="P267" s="455">
        <f>5/1.205</f>
        <v>4.1493775933609953</v>
      </c>
      <c r="Q267" s="25"/>
      <c r="R267" s="25"/>
      <c r="S267" s="25"/>
      <c r="T267" s="25"/>
      <c r="U267" s="25"/>
    </row>
    <row r="268" spans="1:21" ht="15.75" thickBot="1">
      <c r="A268" s="434" t="s">
        <v>412</v>
      </c>
      <c r="B268" s="439"/>
      <c r="C268" s="436"/>
      <c r="D268" s="436"/>
      <c r="E268" s="436"/>
      <c r="F268" s="486"/>
      <c r="G268" s="438"/>
      <c r="H268" s="490">
        <v>0</v>
      </c>
      <c r="I268" s="490">
        <v>0</v>
      </c>
      <c r="J268" s="487"/>
      <c r="K268" s="920">
        <f>11300*0.29</f>
        <v>3277</v>
      </c>
      <c r="L268" s="921">
        <f t="shared" si="19"/>
        <v>0</v>
      </c>
      <c r="M268" s="921">
        <f t="shared" si="20"/>
        <v>0</v>
      </c>
      <c r="N268" s="466">
        <v>3.4</v>
      </c>
      <c r="O268" s="466">
        <v>0.7</v>
      </c>
      <c r="P268" s="467">
        <v>4</v>
      </c>
      <c r="Q268" s="25"/>
      <c r="R268" s="25"/>
      <c r="S268" s="25"/>
      <c r="T268" s="25"/>
      <c r="U268" s="25"/>
    </row>
    <row r="269" spans="1:21" ht="30" customHeight="1" thickBot="1">
      <c r="A269" s="412" t="s">
        <v>1159</v>
      </c>
      <c r="B269" s="413"/>
      <c r="C269" s="414"/>
      <c r="D269" s="415"/>
      <c r="E269" s="414"/>
      <c r="F269" s="416"/>
      <c r="G269" s="417"/>
      <c r="H269" s="415" t="s">
        <v>1652</v>
      </c>
      <c r="I269" s="414"/>
      <c r="J269" s="414"/>
      <c r="K269" s="449" t="s">
        <v>1654</v>
      </c>
      <c r="L269" s="450" t="s">
        <v>391</v>
      </c>
      <c r="M269" s="450" t="s">
        <v>249</v>
      </c>
      <c r="N269" s="451" t="s">
        <v>397</v>
      </c>
      <c r="O269" s="451" t="s">
        <v>398</v>
      </c>
      <c r="P269" s="452" t="s">
        <v>399</v>
      </c>
      <c r="Q269" s="25"/>
      <c r="R269" s="25"/>
      <c r="S269" s="25"/>
      <c r="T269" s="25"/>
      <c r="U269" s="25"/>
    </row>
    <row r="270" spans="1:21">
      <c r="A270" s="395" t="s">
        <v>607</v>
      </c>
      <c r="B270" s="307"/>
      <c r="C270" s="307"/>
      <c r="D270" s="307"/>
      <c r="E270" s="307"/>
      <c r="F270" s="484"/>
      <c r="G270" s="484"/>
      <c r="H270" s="325">
        <v>0</v>
      </c>
      <c r="I270" s="35"/>
      <c r="J270" s="420"/>
      <c r="K270" s="907">
        <f>13700*0.86</f>
        <v>11782</v>
      </c>
      <c r="L270" s="908">
        <f t="shared" ref="L270:L280" si="21">K270*H270</f>
        <v>0</v>
      </c>
      <c r="M270" s="908"/>
      <c r="N270" s="326">
        <v>12.65</v>
      </c>
      <c r="O270" s="326">
        <v>2.93</v>
      </c>
      <c r="P270" s="455">
        <v>3.61</v>
      </c>
      <c r="Q270" s="25"/>
      <c r="R270" s="25"/>
      <c r="S270" s="25"/>
      <c r="T270" s="25"/>
      <c r="U270" s="25"/>
    </row>
    <row r="271" spans="1:21">
      <c r="A271" s="395" t="s">
        <v>400</v>
      </c>
      <c r="B271" s="307"/>
      <c r="C271" s="307"/>
      <c r="D271" s="307"/>
      <c r="E271" s="307"/>
      <c r="F271" s="484"/>
      <c r="G271" s="484"/>
      <c r="H271" s="325">
        <v>0</v>
      </c>
      <c r="I271" s="35"/>
      <c r="J271" s="420"/>
      <c r="K271" s="907">
        <f>13300*0.84</f>
        <v>11172</v>
      </c>
      <c r="L271" s="908">
        <f t="shared" si="21"/>
        <v>0</v>
      </c>
      <c r="M271" s="908"/>
      <c r="N271" s="326">
        <v>17</v>
      </c>
      <c r="O271" s="326">
        <v>2.97</v>
      </c>
      <c r="P271" s="455">
        <v>3.53</v>
      </c>
      <c r="Q271" s="25"/>
      <c r="R271" s="25"/>
      <c r="S271" s="25"/>
      <c r="T271" s="25"/>
      <c r="U271" s="25"/>
    </row>
    <row r="272" spans="1:21">
      <c r="A272" s="395" t="s">
        <v>401</v>
      </c>
      <c r="B272" s="307"/>
      <c r="C272" s="307"/>
      <c r="D272" s="307"/>
      <c r="E272" s="307"/>
      <c r="F272" s="484"/>
      <c r="G272" s="484"/>
      <c r="H272" s="325">
        <v>0</v>
      </c>
      <c r="I272" s="35"/>
      <c r="J272" s="420"/>
      <c r="K272" s="907">
        <f>12100*0.86</f>
        <v>10406</v>
      </c>
      <c r="L272" s="908">
        <f t="shared" si="21"/>
        <v>0</v>
      </c>
      <c r="M272" s="908"/>
      <c r="N272" s="326">
        <v>14.45</v>
      </c>
      <c r="O272" s="326">
        <v>2.97</v>
      </c>
      <c r="P272" s="455">
        <v>3.63</v>
      </c>
      <c r="Q272" s="25"/>
      <c r="R272" s="25"/>
      <c r="S272" s="25"/>
      <c r="T272" s="25"/>
      <c r="U272" s="25"/>
    </row>
    <row r="273" spans="1:21">
      <c r="A273" s="395" t="s">
        <v>40</v>
      </c>
      <c r="B273" s="307"/>
      <c r="C273" s="307"/>
      <c r="D273" s="307"/>
      <c r="E273" s="307"/>
      <c r="F273" s="484"/>
      <c r="G273" s="484"/>
      <c r="H273" s="325">
        <v>0</v>
      </c>
      <c r="I273" s="35"/>
      <c r="J273" s="420"/>
      <c r="K273" s="907">
        <f>14000*0.87</f>
        <v>12180</v>
      </c>
      <c r="L273" s="908">
        <f t="shared" si="21"/>
        <v>0</v>
      </c>
      <c r="M273" s="908"/>
      <c r="N273" s="326">
        <v>17</v>
      </c>
      <c r="O273" s="326">
        <v>9</v>
      </c>
      <c r="P273" s="455">
        <v>6</v>
      </c>
      <c r="Q273" s="25"/>
      <c r="R273" s="25"/>
      <c r="S273" s="25"/>
      <c r="T273" s="25"/>
      <c r="U273" s="25"/>
    </row>
    <row r="274" spans="1:21">
      <c r="A274" s="395" t="s">
        <v>402</v>
      </c>
      <c r="B274" s="307"/>
      <c r="C274" s="307"/>
      <c r="D274" s="307"/>
      <c r="E274" s="307"/>
      <c r="F274" s="484"/>
      <c r="G274" s="484"/>
      <c r="H274" s="325">
        <v>0</v>
      </c>
      <c r="I274" s="35"/>
      <c r="J274" s="420"/>
      <c r="K274" s="907">
        <f>14000*0.87</f>
        <v>12180</v>
      </c>
      <c r="L274" s="908">
        <f t="shared" si="21"/>
        <v>0</v>
      </c>
      <c r="M274" s="908"/>
      <c r="N274" s="326">
        <v>12.75</v>
      </c>
      <c r="O274" s="326">
        <v>2.93</v>
      </c>
      <c r="P274" s="455">
        <v>3.53</v>
      </c>
      <c r="Q274" s="25"/>
      <c r="R274" s="25"/>
      <c r="S274" s="25"/>
      <c r="T274" s="25"/>
      <c r="U274" s="25"/>
    </row>
    <row r="275" spans="1:21">
      <c r="A275" s="395" t="s">
        <v>599</v>
      </c>
      <c r="B275" s="307"/>
      <c r="C275" s="307"/>
      <c r="D275" s="307"/>
      <c r="E275" s="307"/>
      <c r="F275" s="484"/>
      <c r="G275" s="484"/>
      <c r="H275" s="325">
        <v>0</v>
      </c>
      <c r="I275" s="35"/>
      <c r="J275" s="420"/>
      <c r="K275" s="907">
        <v>4547</v>
      </c>
      <c r="L275" s="908">
        <f t="shared" si="21"/>
        <v>0</v>
      </c>
      <c r="M275" s="908"/>
      <c r="N275" s="326">
        <f>AVERAGE(N270:N274)</f>
        <v>14.77</v>
      </c>
      <c r="O275" s="326">
        <f>AVERAGE(O270:O274)</f>
        <v>4.16</v>
      </c>
      <c r="P275" s="455">
        <f>AVERAGE(P270:P274)</f>
        <v>4.0600000000000005</v>
      </c>
      <c r="Q275" s="25"/>
      <c r="R275" s="25"/>
      <c r="S275" s="25"/>
      <c r="T275" s="25"/>
      <c r="U275" s="25"/>
    </row>
    <row r="276" spans="1:21">
      <c r="A276" s="395" t="s">
        <v>396</v>
      </c>
      <c r="B276" s="307"/>
      <c r="C276" s="307"/>
      <c r="D276" s="307"/>
      <c r="E276" s="307"/>
      <c r="F276" s="484"/>
      <c r="G276" s="484"/>
      <c r="H276" s="325">
        <v>0</v>
      </c>
      <c r="I276" s="35"/>
      <c r="J276" s="420"/>
      <c r="K276" s="907">
        <f>13500*0.87</f>
        <v>11745</v>
      </c>
      <c r="L276" s="908">
        <f t="shared" si="21"/>
        <v>0</v>
      </c>
      <c r="M276" s="908"/>
      <c r="N276" s="326">
        <v>54</v>
      </c>
      <c r="O276" s="326">
        <v>7.85</v>
      </c>
      <c r="P276" s="455">
        <v>26.04</v>
      </c>
      <c r="Q276" s="25"/>
      <c r="R276" s="25"/>
      <c r="S276" s="25"/>
      <c r="T276" s="25"/>
      <c r="U276" s="25"/>
    </row>
    <row r="277" spans="1:21">
      <c r="A277" s="395" t="s">
        <v>218</v>
      </c>
      <c r="B277" s="307"/>
      <c r="C277" s="307"/>
      <c r="D277" s="307"/>
      <c r="E277" s="307"/>
      <c r="F277" s="484"/>
      <c r="G277" s="484"/>
      <c r="H277" s="325">
        <v>0</v>
      </c>
      <c r="I277" s="35"/>
      <c r="J277" s="420"/>
      <c r="K277" s="907">
        <f>13100*0.85</f>
        <v>11135</v>
      </c>
      <c r="L277" s="908">
        <f t="shared" si="21"/>
        <v>0</v>
      </c>
      <c r="M277" s="908"/>
      <c r="N277" s="326">
        <v>55.94</v>
      </c>
      <c r="O277" s="326">
        <f>7.85/2.291</f>
        <v>3.4264513312963771</v>
      </c>
      <c r="P277" s="455">
        <f>33.57/1.205</f>
        <v>27.858921161825723</v>
      </c>
      <c r="Q277" s="25"/>
      <c r="R277" s="25"/>
      <c r="S277" s="25"/>
      <c r="T277" s="25"/>
      <c r="U277" s="25"/>
    </row>
    <row r="278" spans="1:21">
      <c r="A278" s="395" t="s">
        <v>45</v>
      </c>
      <c r="B278" s="307"/>
      <c r="C278" s="307"/>
      <c r="D278" s="307"/>
      <c r="E278" s="307"/>
      <c r="F278" s="484"/>
      <c r="G278" s="484"/>
      <c r="H278" s="325">
        <v>0</v>
      </c>
      <c r="I278" s="35"/>
      <c r="J278" s="420"/>
      <c r="K278" s="907">
        <v>11340</v>
      </c>
      <c r="L278" s="908">
        <f t="shared" si="21"/>
        <v>0</v>
      </c>
      <c r="M278" s="908"/>
      <c r="N278" s="326">
        <v>3</v>
      </c>
      <c r="O278" s="326">
        <f>2/2.291</f>
        <v>0.87298123090353563</v>
      </c>
      <c r="P278" s="455">
        <f>3/1.205</f>
        <v>2.4896265560165975</v>
      </c>
      <c r="Q278" s="25"/>
      <c r="R278" s="25"/>
      <c r="S278" s="25"/>
      <c r="T278" s="25"/>
      <c r="U278" s="25"/>
    </row>
    <row r="279" spans="1:21">
      <c r="A279" s="395" t="s">
        <v>46</v>
      </c>
      <c r="B279" s="307"/>
      <c r="C279" s="307"/>
      <c r="D279" s="307"/>
      <c r="E279" s="307"/>
      <c r="F279" s="484"/>
      <c r="G279" s="484"/>
      <c r="H279" s="325">
        <v>0</v>
      </c>
      <c r="I279" s="35"/>
      <c r="J279" s="420"/>
      <c r="K279" s="907">
        <v>11000</v>
      </c>
      <c r="L279" s="908">
        <f t="shared" si="21"/>
        <v>0</v>
      </c>
      <c r="M279" s="908"/>
      <c r="N279" s="326">
        <v>3</v>
      </c>
      <c r="O279" s="326">
        <f>2/2.291</f>
        <v>0.87298123090353563</v>
      </c>
      <c r="P279" s="455">
        <f>3/1.205</f>
        <v>2.4896265560165975</v>
      </c>
      <c r="Q279" s="25"/>
      <c r="R279" s="25"/>
      <c r="S279" s="25"/>
      <c r="T279" s="25"/>
      <c r="U279" s="25"/>
    </row>
    <row r="280" spans="1:21">
      <c r="A280" s="395" t="s">
        <v>41</v>
      </c>
      <c r="B280" s="307"/>
      <c r="C280" s="307"/>
      <c r="D280" s="307"/>
      <c r="E280" s="307"/>
      <c r="F280" s="484"/>
      <c r="G280" s="484"/>
      <c r="H280" s="325">
        <v>0</v>
      </c>
      <c r="I280" s="35"/>
      <c r="J280" s="420"/>
      <c r="K280" s="907">
        <v>2680</v>
      </c>
      <c r="L280" s="908">
        <f t="shared" si="21"/>
        <v>0</v>
      </c>
      <c r="M280" s="908"/>
      <c r="N280" s="326">
        <v>2.7</v>
      </c>
      <c r="O280" s="326">
        <f>0.6/2.291</f>
        <v>0.26189436927106069</v>
      </c>
      <c r="P280" s="455">
        <f>4.92/1.205</f>
        <v>4.0829875518672196</v>
      </c>
      <c r="Q280" s="25"/>
      <c r="R280" s="25"/>
      <c r="S280" s="25"/>
      <c r="T280" s="25"/>
      <c r="U280" s="25"/>
    </row>
    <row r="281" spans="1:21">
      <c r="A281" s="397" t="s">
        <v>1160</v>
      </c>
      <c r="B281" s="307"/>
      <c r="C281" s="307"/>
      <c r="D281" s="307"/>
      <c r="E281" s="307"/>
      <c r="F281" s="484"/>
      <c r="G281" s="431"/>
      <c r="H281" s="428"/>
      <c r="I281" s="484"/>
      <c r="J281" s="420"/>
      <c r="K281" s="907"/>
      <c r="L281" s="908"/>
      <c r="M281" s="908"/>
      <c r="N281" s="326"/>
      <c r="O281" s="326"/>
      <c r="P281" s="455"/>
      <c r="Q281" s="25"/>
      <c r="R281" s="25"/>
      <c r="S281" s="25"/>
      <c r="T281" s="25"/>
      <c r="U281" s="25"/>
    </row>
    <row r="282" spans="1:21">
      <c r="A282" s="395" t="s">
        <v>200</v>
      </c>
      <c r="B282" s="307"/>
      <c r="C282" s="307"/>
      <c r="D282" s="307"/>
      <c r="E282" s="307"/>
      <c r="F282" s="484"/>
      <c r="G282" s="431"/>
      <c r="H282" s="331">
        <v>0</v>
      </c>
      <c r="I282" s="35"/>
      <c r="J282" s="420"/>
      <c r="K282" s="907">
        <f>13500*0.9</f>
        <v>12150</v>
      </c>
      <c r="L282" s="908">
        <f>H282*K282</f>
        <v>0</v>
      </c>
      <c r="M282" s="908"/>
      <c r="N282" s="326">
        <v>69.900000000000006</v>
      </c>
      <c r="O282" s="326">
        <v>6.6</v>
      </c>
      <c r="P282" s="455">
        <v>22.2</v>
      </c>
      <c r="Q282" s="25"/>
      <c r="R282" s="25"/>
      <c r="S282" s="25"/>
      <c r="T282" s="25"/>
      <c r="U282" s="25"/>
    </row>
    <row r="283" spans="1:21">
      <c r="A283" s="395" t="s">
        <v>201</v>
      </c>
      <c r="B283" s="428"/>
      <c r="C283" s="307"/>
      <c r="D283" s="307"/>
      <c r="E283" s="307"/>
      <c r="F283" s="484"/>
      <c r="G283" s="431"/>
      <c r="H283" s="331">
        <v>0</v>
      </c>
      <c r="I283" s="35"/>
      <c r="J283" s="420"/>
      <c r="K283" s="907">
        <f>12000*0.9</f>
        <v>10800</v>
      </c>
      <c r="L283" s="908">
        <f>H283*K283</f>
        <v>0</v>
      </c>
      <c r="M283" s="908"/>
      <c r="N283" s="326">
        <v>57.7</v>
      </c>
      <c r="O283" s="326">
        <v>10.199999999999999</v>
      </c>
      <c r="P283" s="455">
        <v>12.9</v>
      </c>
      <c r="Q283" s="25"/>
      <c r="R283" s="25"/>
      <c r="S283" s="25"/>
      <c r="T283" s="25"/>
      <c r="U283" s="25"/>
    </row>
    <row r="284" spans="1:21">
      <c r="A284" s="395" t="s">
        <v>204</v>
      </c>
      <c r="B284" s="428"/>
      <c r="C284" s="307"/>
      <c r="D284" s="307"/>
      <c r="E284" s="307"/>
      <c r="F284" s="484"/>
      <c r="G284" s="431"/>
      <c r="H284" s="331">
        <v>0</v>
      </c>
      <c r="I284" s="35"/>
      <c r="J284" s="420"/>
      <c r="K284" s="907">
        <f>14200*0.93</f>
        <v>13206</v>
      </c>
      <c r="L284" s="908">
        <f>H284*K284</f>
        <v>0</v>
      </c>
      <c r="M284" s="908"/>
      <c r="N284" s="326">
        <v>105</v>
      </c>
      <c r="O284" s="326">
        <v>33.299999999999997</v>
      </c>
      <c r="P284" s="455">
        <v>8.5</v>
      </c>
      <c r="Q284" s="25"/>
      <c r="R284" s="25"/>
      <c r="S284" s="25"/>
      <c r="T284" s="25"/>
      <c r="U284" s="25"/>
    </row>
    <row r="285" spans="1:21">
      <c r="A285" s="395" t="s">
        <v>1331</v>
      </c>
      <c r="B285" s="428"/>
      <c r="C285" s="307"/>
      <c r="D285" s="307"/>
      <c r="E285" s="307"/>
      <c r="F285" s="484"/>
      <c r="G285" s="431"/>
      <c r="H285" s="331">
        <v>0</v>
      </c>
      <c r="I285" s="35"/>
      <c r="J285" s="499"/>
      <c r="K285" s="907">
        <f>13000*0.88</f>
        <v>11440</v>
      </c>
      <c r="L285" s="908">
        <f>H285*K285</f>
        <v>0</v>
      </c>
      <c r="M285" s="908"/>
      <c r="N285" s="326">
        <f>18*1.6</f>
        <v>28.8</v>
      </c>
      <c r="O285" s="326">
        <f>18*0.2</f>
        <v>3.6</v>
      </c>
      <c r="P285" s="455">
        <f>18*0.4</f>
        <v>7.2</v>
      </c>
      <c r="Q285" s="25"/>
      <c r="R285" s="25"/>
      <c r="S285" s="25"/>
      <c r="T285" s="25"/>
      <c r="U285" s="25"/>
    </row>
    <row r="286" spans="1:21">
      <c r="A286" s="397" t="s">
        <v>1161</v>
      </c>
      <c r="B286" s="428"/>
      <c r="C286" s="307"/>
      <c r="D286" s="307"/>
      <c r="E286" s="307"/>
      <c r="F286" s="484"/>
      <c r="G286" s="431"/>
      <c r="H286" s="431"/>
      <c r="I286" s="484"/>
      <c r="J286" s="420"/>
      <c r="K286" s="907"/>
      <c r="L286" s="908"/>
      <c r="M286" s="908"/>
      <c r="N286" s="326"/>
      <c r="O286" s="326"/>
      <c r="P286" s="455"/>
      <c r="Q286" s="25"/>
      <c r="R286" s="25"/>
      <c r="S286" s="25"/>
      <c r="T286" s="25"/>
      <c r="U286" s="25"/>
    </row>
    <row r="287" spans="1:21">
      <c r="A287" s="395" t="s">
        <v>640</v>
      </c>
      <c r="B287" s="428"/>
      <c r="C287" s="307"/>
      <c r="D287" s="307"/>
      <c r="E287" s="307"/>
      <c r="F287" s="484"/>
      <c r="G287" s="431"/>
      <c r="H287" s="331">
        <v>0</v>
      </c>
      <c r="I287" s="35"/>
      <c r="J287" s="420"/>
      <c r="K287" s="907">
        <v>14900</v>
      </c>
      <c r="L287" s="908">
        <f t="shared" ref="L287:L297" si="22">H287*K287</f>
        <v>0</v>
      </c>
      <c r="M287" s="908"/>
      <c r="N287" s="326">
        <v>40</v>
      </c>
      <c r="O287" s="326">
        <v>7.3</v>
      </c>
      <c r="P287" s="455">
        <v>10.96</v>
      </c>
      <c r="Q287" s="25"/>
      <c r="R287" s="25"/>
      <c r="S287" s="25"/>
      <c r="T287" s="25"/>
      <c r="U287" s="25"/>
    </row>
    <row r="288" spans="1:21">
      <c r="A288" s="395" t="s">
        <v>205</v>
      </c>
      <c r="B288" s="428"/>
      <c r="C288" s="307"/>
      <c r="D288" s="307"/>
      <c r="E288" s="307"/>
      <c r="F288" s="484"/>
      <c r="G288" s="431"/>
      <c r="H288" s="331">
        <v>0</v>
      </c>
      <c r="I288" s="35"/>
      <c r="J288" s="420"/>
      <c r="K288" s="907">
        <f>10800*0.89</f>
        <v>9612</v>
      </c>
      <c r="L288" s="908">
        <f t="shared" si="22"/>
        <v>0</v>
      </c>
      <c r="M288" s="908"/>
      <c r="N288" s="326">
        <v>25.4</v>
      </c>
      <c r="O288" s="326">
        <v>10.3</v>
      </c>
      <c r="P288" s="455">
        <v>12.4</v>
      </c>
      <c r="Q288" s="25"/>
      <c r="R288" s="25"/>
      <c r="S288" s="25"/>
      <c r="T288" s="25"/>
      <c r="U288" s="25"/>
    </row>
    <row r="289" spans="1:21">
      <c r="A289" s="395" t="s">
        <v>206</v>
      </c>
      <c r="B289" s="428"/>
      <c r="C289" s="307"/>
      <c r="D289" s="307"/>
      <c r="E289" s="307"/>
      <c r="F289" s="484"/>
      <c r="G289" s="431"/>
      <c r="H289" s="331">
        <v>0</v>
      </c>
      <c r="I289" s="35"/>
      <c r="J289" s="420"/>
      <c r="K289" s="907">
        <f>12700*0.89</f>
        <v>11303</v>
      </c>
      <c r="L289" s="908">
        <f t="shared" si="22"/>
        <v>0</v>
      </c>
      <c r="M289" s="908"/>
      <c r="N289" s="326">
        <v>96.8</v>
      </c>
      <c r="O289" s="326">
        <v>2.5</v>
      </c>
      <c r="P289" s="455">
        <v>1</v>
      </c>
      <c r="Q289" s="25"/>
      <c r="R289" s="25"/>
      <c r="S289" s="25"/>
      <c r="T289" s="25"/>
      <c r="U289" s="25"/>
    </row>
    <row r="290" spans="1:21">
      <c r="A290" s="395" t="s">
        <v>207</v>
      </c>
      <c r="B290" s="428"/>
      <c r="C290" s="307"/>
      <c r="D290" s="307"/>
      <c r="E290" s="307"/>
      <c r="F290" s="484"/>
      <c r="G290" s="431"/>
      <c r="H290" s="331">
        <v>0</v>
      </c>
      <c r="I290" s="35"/>
      <c r="J290" s="420"/>
      <c r="K290" s="907">
        <f>11700*0.28</f>
        <v>3276.0000000000005</v>
      </c>
      <c r="L290" s="908">
        <f t="shared" si="22"/>
        <v>0</v>
      </c>
      <c r="M290" s="908"/>
      <c r="N290" s="326">
        <v>10.7</v>
      </c>
      <c r="O290" s="326">
        <v>1</v>
      </c>
      <c r="P290" s="455">
        <v>0.2</v>
      </c>
      <c r="Q290" s="25"/>
      <c r="R290" s="25"/>
      <c r="S290" s="25"/>
      <c r="T290" s="25"/>
      <c r="U290" s="25"/>
    </row>
    <row r="291" spans="1:21">
      <c r="A291" s="395" t="s">
        <v>208</v>
      </c>
      <c r="B291" s="428"/>
      <c r="C291" s="307"/>
      <c r="D291" s="307"/>
      <c r="E291" s="307"/>
      <c r="F291" s="484"/>
      <c r="G291" s="431"/>
      <c r="H291" s="331">
        <v>0</v>
      </c>
      <c r="I291" s="35"/>
      <c r="J291" s="420"/>
      <c r="K291" s="907">
        <f>11700*0.95</f>
        <v>11115</v>
      </c>
      <c r="L291" s="908">
        <f t="shared" si="22"/>
        <v>0</v>
      </c>
      <c r="M291" s="908"/>
      <c r="N291" s="326">
        <v>34.200000000000003</v>
      </c>
      <c r="O291" s="326">
        <v>4.5</v>
      </c>
      <c r="P291" s="455">
        <v>0.5</v>
      </c>
      <c r="Q291" s="25"/>
      <c r="R291" s="25"/>
      <c r="S291" s="25"/>
      <c r="T291" s="25"/>
      <c r="U291" s="25"/>
    </row>
    <row r="292" spans="1:21">
      <c r="A292" s="395" t="s">
        <v>211</v>
      </c>
      <c r="B292" s="428"/>
      <c r="C292" s="307"/>
      <c r="D292" s="307"/>
      <c r="E292" s="307"/>
      <c r="F292" s="484"/>
      <c r="G292" s="431"/>
      <c r="H292" s="331">
        <v>0</v>
      </c>
      <c r="I292" s="35"/>
      <c r="J292" s="420"/>
      <c r="K292" s="907">
        <f>12500*0.88</f>
        <v>11000</v>
      </c>
      <c r="L292" s="908">
        <f t="shared" si="22"/>
        <v>0</v>
      </c>
      <c r="M292" s="908"/>
      <c r="N292" s="326">
        <v>15.5</v>
      </c>
      <c r="O292" s="326">
        <v>0.7</v>
      </c>
      <c r="P292" s="455">
        <v>15.9</v>
      </c>
      <c r="Q292" s="25"/>
      <c r="R292" s="25"/>
      <c r="S292" s="25"/>
      <c r="T292" s="25"/>
      <c r="U292" s="25"/>
    </row>
    <row r="293" spans="1:21">
      <c r="A293" s="395" t="s">
        <v>212</v>
      </c>
      <c r="B293" s="428"/>
      <c r="C293" s="307"/>
      <c r="D293" s="307"/>
      <c r="E293" s="307"/>
      <c r="F293" s="484"/>
      <c r="G293" s="431"/>
      <c r="H293" s="331">
        <v>0</v>
      </c>
      <c r="I293" s="35"/>
      <c r="J293" s="420"/>
      <c r="K293" s="907">
        <f>15400*0.48</f>
        <v>7392</v>
      </c>
      <c r="L293" s="908">
        <f t="shared" si="22"/>
        <v>0</v>
      </c>
      <c r="M293" s="908"/>
      <c r="N293" s="326">
        <v>25.2</v>
      </c>
      <c r="O293" s="326">
        <v>9.9</v>
      </c>
      <c r="P293" s="455">
        <v>10.4</v>
      </c>
      <c r="Q293" s="25"/>
      <c r="R293" s="25"/>
      <c r="S293" s="25"/>
      <c r="T293" s="25"/>
      <c r="U293" s="25"/>
    </row>
    <row r="294" spans="1:21">
      <c r="A294" s="395" t="s">
        <v>213</v>
      </c>
      <c r="B294" s="428"/>
      <c r="C294" s="307"/>
      <c r="D294" s="307"/>
      <c r="E294" s="307"/>
      <c r="F294" s="484"/>
      <c r="G294" s="431"/>
      <c r="H294" s="331">
        <v>0</v>
      </c>
      <c r="I294" s="35"/>
      <c r="J294" s="420"/>
      <c r="K294" s="907">
        <f>12700*0.75</f>
        <v>9525</v>
      </c>
      <c r="L294" s="908">
        <f t="shared" si="22"/>
        <v>0</v>
      </c>
      <c r="M294" s="908"/>
      <c r="N294" s="326">
        <v>6.5</v>
      </c>
      <c r="O294" s="326">
        <v>0.9</v>
      </c>
      <c r="P294" s="455">
        <v>28.4</v>
      </c>
      <c r="Q294" s="25"/>
      <c r="R294" s="25"/>
      <c r="S294" s="25"/>
      <c r="T294" s="25"/>
      <c r="U294" s="25"/>
    </row>
    <row r="295" spans="1:21">
      <c r="A295" s="397" t="s">
        <v>452</v>
      </c>
      <c r="B295" s="428"/>
      <c r="C295" s="307"/>
      <c r="D295" s="307"/>
      <c r="E295" s="307"/>
      <c r="F295" s="484"/>
      <c r="G295" s="431"/>
      <c r="H295" s="331">
        <v>0</v>
      </c>
      <c r="I295" s="35"/>
      <c r="J295" s="420"/>
      <c r="K295" s="922">
        <f>AVERAGE(K259:K268)</f>
        <v>4095.1</v>
      </c>
      <c r="L295" s="908">
        <f t="shared" si="22"/>
        <v>0</v>
      </c>
      <c r="M295" s="908"/>
      <c r="N295" s="332">
        <f>AVERAGE(N259:N268)</f>
        <v>8.98</v>
      </c>
      <c r="O295" s="332">
        <f>AVERAGE(O259:O268)</f>
        <v>1.0864207769532954</v>
      </c>
      <c r="P295" s="559">
        <f>AVERAGE(P259:P268)</f>
        <v>8.1748132780082976</v>
      </c>
      <c r="Q295" s="25"/>
      <c r="R295" s="25"/>
      <c r="S295" s="25"/>
      <c r="T295" s="25"/>
      <c r="U295" s="25"/>
    </row>
    <row r="296" spans="1:21">
      <c r="A296" s="397" t="s">
        <v>1332</v>
      </c>
      <c r="B296" s="428"/>
      <c r="C296" s="307"/>
      <c r="D296" s="307"/>
      <c r="E296" s="307"/>
      <c r="F296" s="484"/>
      <c r="G296" s="431"/>
      <c r="H296" s="331">
        <v>0</v>
      </c>
      <c r="I296" s="35"/>
      <c r="J296" s="420"/>
      <c r="K296" s="922">
        <f>AVERAGE(K282:K284)</f>
        <v>12052</v>
      </c>
      <c r="L296" s="908">
        <f t="shared" si="22"/>
        <v>0</v>
      </c>
      <c r="M296" s="908"/>
      <c r="N296" s="332">
        <f>AVERAGE(N282:N284)</f>
        <v>77.533333333333346</v>
      </c>
      <c r="O296" s="332">
        <f>AVERAGE(O282:O284)</f>
        <v>16.7</v>
      </c>
      <c r="P296" s="559">
        <f>AVERAGE(P282:P284)</f>
        <v>14.533333333333333</v>
      </c>
      <c r="Q296" s="25"/>
      <c r="R296" s="25"/>
      <c r="S296" s="25"/>
      <c r="T296" s="25"/>
      <c r="U296" s="25"/>
    </row>
    <row r="297" spans="1:21" ht="15.75" thickBot="1">
      <c r="A297" s="500" t="s">
        <v>453</v>
      </c>
      <c r="B297" s="439"/>
      <c r="C297" s="436"/>
      <c r="D297" s="436"/>
      <c r="E297" s="436"/>
      <c r="F297" s="486"/>
      <c r="G297" s="438"/>
      <c r="H297" s="490">
        <v>0</v>
      </c>
      <c r="I297" s="491"/>
      <c r="J297" s="487"/>
      <c r="K297" s="923">
        <f>AVERAGE(K288,K289,K292:K294)</f>
        <v>9766.4</v>
      </c>
      <c r="L297" s="921">
        <f t="shared" si="22"/>
        <v>0</v>
      </c>
      <c r="M297" s="921"/>
      <c r="N297" s="560">
        <f>AVERAGE(N288,N289,N292:N294)</f>
        <v>33.879999999999995</v>
      </c>
      <c r="O297" s="560">
        <f>AVERAGE(O288,O289,O292:O294)</f>
        <v>4.8599999999999994</v>
      </c>
      <c r="P297" s="561">
        <f>AVERAGE(P288,P289,P292:P294)</f>
        <v>13.62</v>
      </c>
      <c r="Q297" s="25"/>
      <c r="R297" s="25"/>
      <c r="S297" s="25"/>
      <c r="T297" s="25"/>
      <c r="U297" s="25"/>
    </row>
    <row r="298" spans="1:21" ht="27.75" customHeight="1" thickBot="1">
      <c r="A298" s="501" t="s">
        <v>219</v>
      </c>
      <c r="B298" s="529"/>
      <c r="C298" s="502"/>
      <c r="D298" s="503"/>
      <c r="E298" s="502"/>
      <c r="F298" s="504"/>
      <c r="G298" s="505"/>
      <c r="H298" s="503" t="s">
        <v>1652</v>
      </c>
      <c r="I298" s="503" t="s">
        <v>1653</v>
      </c>
      <c r="J298" s="502"/>
      <c r="K298" s="449" t="s">
        <v>1654</v>
      </c>
      <c r="L298" s="450" t="s">
        <v>391</v>
      </c>
      <c r="M298" s="450" t="s">
        <v>249</v>
      </c>
      <c r="N298" s="451" t="s">
        <v>397</v>
      </c>
      <c r="O298" s="451" t="s">
        <v>398</v>
      </c>
      <c r="P298" s="452" t="s">
        <v>399</v>
      </c>
      <c r="Q298" s="25"/>
      <c r="R298" s="25"/>
      <c r="S298" s="25"/>
      <c r="T298" s="25"/>
      <c r="U298" s="25"/>
    </row>
    <row r="299" spans="1:21">
      <c r="A299" s="510" t="s">
        <v>219</v>
      </c>
      <c r="B299" s="518"/>
      <c r="C299" s="511"/>
      <c r="D299" s="511"/>
      <c r="E299" s="511"/>
      <c r="F299" s="512"/>
      <c r="G299" s="513"/>
      <c r="H299" s="514">
        <v>0</v>
      </c>
      <c r="I299" s="515">
        <v>0</v>
      </c>
      <c r="J299" s="516"/>
      <c r="K299" s="453">
        <f>7300*0.85</f>
        <v>6205</v>
      </c>
      <c r="L299" s="329">
        <f>H299*K299</f>
        <v>0</v>
      </c>
      <c r="M299" s="329">
        <f>I299*K299</f>
        <v>0</v>
      </c>
      <c r="N299" s="326">
        <v>4.37</v>
      </c>
      <c r="O299" s="326">
        <v>1.06</v>
      </c>
      <c r="P299" s="455">
        <v>9.27</v>
      </c>
      <c r="Q299" s="25"/>
      <c r="R299" s="25"/>
      <c r="S299" s="25"/>
      <c r="T299" s="25"/>
      <c r="U299" s="25"/>
    </row>
    <row r="300" spans="1:21" ht="15.75" thickBot="1">
      <c r="A300" s="500"/>
      <c r="B300" s="439"/>
      <c r="C300" s="436"/>
      <c r="D300" s="436"/>
      <c r="E300" s="436"/>
      <c r="F300" s="486"/>
      <c r="G300" s="438"/>
      <c r="H300" s="439"/>
      <c r="I300" s="517"/>
      <c r="J300" s="487"/>
      <c r="K300" s="555"/>
      <c r="L300" s="556"/>
      <c r="M300" s="556"/>
      <c r="N300" s="557"/>
      <c r="O300" s="557"/>
      <c r="P300" s="558"/>
      <c r="Q300" s="25"/>
      <c r="R300" s="25"/>
      <c r="S300" s="25"/>
      <c r="T300" s="25"/>
      <c r="U300" s="25"/>
    </row>
    <row r="301" spans="1:21" ht="26.25" thickBot="1">
      <c r="A301" s="443" t="s">
        <v>1679</v>
      </c>
      <c r="B301" s="441"/>
      <c r="C301" s="506"/>
      <c r="D301" s="507"/>
      <c r="E301" s="506"/>
      <c r="F301" s="508"/>
      <c r="G301" s="509"/>
      <c r="H301" s="507" t="s">
        <v>1652</v>
      </c>
      <c r="I301" s="507" t="s">
        <v>1653</v>
      </c>
      <c r="J301" s="506"/>
      <c r="K301" s="449" t="s">
        <v>1654</v>
      </c>
      <c r="L301" s="450" t="s">
        <v>391</v>
      </c>
      <c r="M301" s="450" t="s">
        <v>249</v>
      </c>
      <c r="N301" s="451" t="s">
        <v>397</v>
      </c>
      <c r="O301" s="451" t="s">
        <v>398</v>
      </c>
      <c r="P301" s="452" t="s">
        <v>399</v>
      </c>
      <c r="Q301" s="25"/>
      <c r="R301" s="25"/>
      <c r="S301" s="25"/>
      <c r="T301" s="25"/>
      <c r="U301" s="25"/>
    </row>
    <row r="302" spans="1:21">
      <c r="A302" s="510" t="s">
        <v>627</v>
      </c>
      <c r="B302" s="518"/>
      <c r="C302" s="511"/>
      <c r="D302" s="511"/>
      <c r="E302" s="511"/>
      <c r="F302" s="512"/>
      <c r="G302" s="513"/>
      <c r="H302" s="518"/>
      <c r="I302" s="518"/>
      <c r="J302" s="516"/>
      <c r="K302" s="453"/>
      <c r="L302" s="329"/>
      <c r="M302" s="329"/>
      <c r="N302" s="326"/>
      <c r="O302" s="326"/>
      <c r="P302" s="455"/>
      <c r="Q302" s="25"/>
      <c r="R302" s="25"/>
      <c r="S302" s="25"/>
      <c r="T302" s="25"/>
      <c r="U302" s="25"/>
    </row>
    <row r="303" spans="1:21" s="272" customFormat="1">
      <c r="A303" s="395" t="s">
        <v>1622</v>
      </c>
      <c r="B303" s="528"/>
      <c r="C303" s="492"/>
      <c r="D303" s="492"/>
      <c r="E303" s="492"/>
      <c r="F303" s="493"/>
      <c r="G303" s="484"/>
      <c r="H303" s="331">
        <v>0</v>
      </c>
      <c r="I303" s="331">
        <v>0</v>
      </c>
      <c r="J303" s="420" t="s">
        <v>1304</v>
      </c>
      <c r="K303" s="453" t="s">
        <v>197</v>
      </c>
      <c r="L303" s="329" t="s">
        <v>197</v>
      </c>
      <c r="M303" s="329" t="s">
        <v>197</v>
      </c>
      <c r="N303" s="859">
        <v>3</v>
      </c>
      <c r="O303" s="859">
        <f>1.2/2.291</f>
        <v>0.52378873854212138</v>
      </c>
      <c r="P303" s="860">
        <f>3.5/1.205</f>
        <v>2.904564315352697</v>
      </c>
    </row>
    <row r="304" spans="1:21">
      <c r="A304" s="395" t="s">
        <v>629</v>
      </c>
      <c r="B304" s="428"/>
      <c r="C304" s="307"/>
      <c r="D304" s="307"/>
      <c r="E304" s="307"/>
      <c r="F304" s="484"/>
      <c r="G304" s="431"/>
      <c r="H304" s="331">
        <v>0</v>
      </c>
      <c r="I304" s="331">
        <v>0</v>
      </c>
      <c r="J304" s="420" t="s">
        <v>1304</v>
      </c>
      <c r="K304" s="453" t="s">
        <v>197</v>
      </c>
      <c r="L304" s="329" t="s">
        <v>197</v>
      </c>
      <c r="M304" s="329" t="s">
        <v>197</v>
      </c>
      <c r="N304" s="859">
        <v>2.2999999999999998</v>
      </c>
      <c r="O304" s="859">
        <f>1.2/2.291</f>
        <v>0.52378873854212138</v>
      </c>
      <c r="P304" s="860">
        <f>2.7/1.205</f>
        <v>2.2406639004149378</v>
      </c>
      <c r="Q304" s="25"/>
      <c r="R304" s="25"/>
      <c r="S304" s="25"/>
      <c r="T304" s="25"/>
      <c r="U304" s="25"/>
    </row>
    <row r="305" spans="1:21">
      <c r="A305" s="395" t="s">
        <v>630</v>
      </c>
      <c r="B305" s="428"/>
      <c r="C305" s="307"/>
      <c r="D305" s="307"/>
      <c r="E305" s="307"/>
      <c r="F305" s="484"/>
      <c r="G305" s="431"/>
      <c r="H305" s="331">
        <v>0</v>
      </c>
      <c r="I305" s="331">
        <v>0</v>
      </c>
      <c r="J305" s="420" t="s">
        <v>1304</v>
      </c>
      <c r="K305" s="453" t="s">
        <v>197</v>
      </c>
      <c r="L305" s="329" t="s">
        <v>197</v>
      </c>
      <c r="M305" s="329" t="s">
        <v>197</v>
      </c>
      <c r="N305" s="859">
        <v>4</v>
      </c>
      <c r="O305" s="859">
        <f>2/2.291</f>
        <v>0.87298123090353563</v>
      </c>
      <c r="P305" s="860">
        <f>2.5/1.205</f>
        <v>2.0746887966804977</v>
      </c>
      <c r="Q305" s="25"/>
      <c r="R305" s="25"/>
      <c r="S305" s="25"/>
      <c r="T305" s="25"/>
      <c r="U305" s="25"/>
    </row>
    <row r="306" spans="1:21">
      <c r="A306" s="395" t="s">
        <v>631</v>
      </c>
      <c r="B306" s="428"/>
      <c r="C306" s="307"/>
      <c r="D306" s="307"/>
      <c r="E306" s="307"/>
      <c r="F306" s="484"/>
      <c r="G306" s="431"/>
      <c r="H306" s="331">
        <v>0</v>
      </c>
      <c r="I306" s="331">
        <v>0</v>
      </c>
      <c r="J306" s="420" t="s">
        <v>1304</v>
      </c>
      <c r="K306" s="453" t="s">
        <v>197</v>
      </c>
      <c r="L306" s="329" t="s">
        <v>197</v>
      </c>
      <c r="M306" s="329" t="s">
        <v>197</v>
      </c>
      <c r="N306" s="859">
        <v>0.3</v>
      </c>
      <c r="O306" s="859">
        <f>0/2.291</f>
        <v>0</v>
      </c>
      <c r="P306" s="860">
        <f>0.3/1.205</f>
        <v>0.24896265560165973</v>
      </c>
      <c r="Q306" s="25"/>
      <c r="R306" s="25"/>
      <c r="S306" s="25"/>
      <c r="T306" s="25"/>
      <c r="U306" s="25"/>
    </row>
    <row r="307" spans="1:21">
      <c r="A307" s="395" t="s">
        <v>157</v>
      </c>
      <c r="B307" s="428"/>
      <c r="C307" s="307"/>
      <c r="D307" s="307"/>
      <c r="E307" s="307"/>
      <c r="F307" s="484"/>
      <c r="G307" s="494"/>
      <c r="H307" s="331">
        <v>0</v>
      </c>
      <c r="I307" s="331">
        <v>0</v>
      </c>
      <c r="J307" s="420" t="s">
        <v>1203</v>
      </c>
      <c r="K307" s="453" t="s">
        <v>197</v>
      </c>
      <c r="L307" s="329" t="s">
        <v>197</v>
      </c>
      <c r="M307" s="329" t="s">
        <v>197</v>
      </c>
      <c r="N307" s="859">
        <v>5.9</v>
      </c>
      <c r="O307" s="859">
        <f>3.1/2.291</f>
        <v>1.3531209079004802</v>
      </c>
      <c r="P307" s="860">
        <f>6.6/1.205</f>
        <v>5.4771784232365137</v>
      </c>
      <c r="Q307" s="25"/>
      <c r="R307" s="25"/>
      <c r="S307" s="25"/>
      <c r="T307" s="25"/>
      <c r="U307" s="25"/>
    </row>
    <row r="308" spans="1:21" s="272" customFormat="1">
      <c r="A308" s="395" t="s">
        <v>159</v>
      </c>
      <c r="B308" s="528"/>
      <c r="C308" s="492"/>
      <c r="D308" s="492"/>
      <c r="E308" s="492"/>
      <c r="F308" s="493"/>
      <c r="G308" s="494"/>
      <c r="H308" s="331">
        <v>0</v>
      </c>
      <c r="I308" s="331">
        <v>0</v>
      </c>
      <c r="J308" s="420" t="s">
        <v>1203</v>
      </c>
      <c r="K308" s="453" t="s">
        <v>197</v>
      </c>
      <c r="L308" s="329" t="s">
        <v>197</v>
      </c>
      <c r="M308" s="329" t="s">
        <v>197</v>
      </c>
      <c r="N308" s="859">
        <v>6.5</v>
      </c>
      <c r="O308" s="859">
        <f>6.1/2.291</f>
        <v>2.6625927542557832</v>
      </c>
      <c r="P308" s="860">
        <f>6.5/1.205</f>
        <v>5.3941908713692941</v>
      </c>
    </row>
    <row r="309" spans="1:21">
      <c r="A309" s="395" t="s">
        <v>160</v>
      </c>
      <c r="B309" s="428"/>
      <c r="C309" s="307"/>
      <c r="D309" s="307"/>
      <c r="E309" s="307"/>
      <c r="F309" s="484"/>
      <c r="G309" s="431"/>
      <c r="H309" s="331">
        <v>0</v>
      </c>
      <c r="I309" s="331">
        <v>0</v>
      </c>
      <c r="J309" s="420" t="s">
        <v>1203</v>
      </c>
      <c r="K309" s="453" t="s">
        <v>197</v>
      </c>
      <c r="L309" s="329" t="s">
        <v>197</v>
      </c>
      <c r="M309" s="329" t="s">
        <v>197</v>
      </c>
      <c r="N309" s="859">
        <v>6</v>
      </c>
      <c r="O309" s="859">
        <f>2/2.291</f>
        <v>0.87298123090353563</v>
      </c>
      <c r="P309" s="860">
        <f>3/1.205</f>
        <v>2.4896265560165975</v>
      </c>
      <c r="Q309" s="25"/>
      <c r="R309" s="25"/>
      <c r="S309" s="25"/>
      <c r="T309" s="25"/>
      <c r="U309" s="25"/>
    </row>
    <row r="310" spans="1:21">
      <c r="A310" s="395" t="s">
        <v>155</v>
      </c>
      <c r="B310" s="428"/>
      <c r="C310" s="307"/>
      <c r="D310" s="307"/>
      <c r="E310" s="307"/>
      <c r="F310" s="484"/>
      <c r="G310" s="431"/>
      <c r="H310" s="331">
        <v>0</v>
      </c>
      <c r="I310" s="331">
        <v>0</v>
      </c>
      <c r="J310" s="420" t="s">
        <v>1203</v>
      </c>
      <c r="K310" s="453" t="s">
        <v>197</v>
      </c>
      <c r="L310" s="329" t="s">
        <v>197</v>
      </c>
      <c r="M310" s="329" t="s">
        <v>197</v>
      </c>
      <c r="N310" s="859">
        <v>30</v>
      </c>
      <c r="O310" s="859">
        <f>25/2.291</f>
        <v>10.912265386294195</v>
      </c>
      <c r="P310" s="860">
        <f>18/1.205</f>
        <v>14.937759336099584</v>
      </c>
      <c r="Q310" s="25"/>
      <c r="R310" s="25"/>
      <c r="S310" s="25"/>
      <c r="T310" s="25"/>
      <c r="U310" s="25"/>
    </row>
    <row r="311" spans="1:21">
      <c r="A311" s="395" t="s">
        <v>156</v>
      </c>
      <c r="B311" s="428"/>
      <c r="C311" s="307"/>
      <c r="D311" s="307"/>
      <c r="E311" s="307"/>
      <c r="F311" s="484"/>
      <c r="G311" s="431"/>
      <c r="H311" s="331">
        <v>0</v>
      </c>
      <c r="I311" s="331">
        <v>0</v>
      </c>
      <c r="J311" s="420" t="s">
        <v>1203</v>
      </c>
      <c r="K311" s="453" t="s">
        <v>197</v>
      </c>
      <c r="L311" s="329" t="s">
        <v>197</v>
      </c>
      <c r="M311" s="329" t="s">
        <v>197</v>
      </c>
      <c r="N311" s="859">
        <v>16</v>
      </c>
      <c r="O311" s="859">
        <f>13/2.291</f>
        <v>5.6743780008729816</v>
      </c>
      <c r="P311" s="860">
        <f>9/1.205</f>
        <v>7.4688796680497918</v>
      </c>
      <c r="Q311" s="25"/>
      <c r="R311" s="25"/>
      <c r="S311" s="25"/>
      <c r="T311" s="25"/>
      <c r="U311" s="25"/>
    </row>
    <row r="312" spans="1:21">
      <c r="A312" s="395" t="s">
        <v>628</v>
      </c>
      <c r="B312" s="428"/>
      <c r="C312" s="307"/>
      <c r="D312" s="307"/>
      <c r="E312" s="307"/>
      <c r="F312" s="484"/>
      <c r="G312" s="431"/>
      <c r="H312" s="331">
        <v>0</v>
      </c>
      <c r="I312" s="331">
        <v>0</v>
      </c>
      <c r="J312" s="420" t="s">
        <v>1203</v>
      </c>
      <c r="K312" s="453" t="s">
        <v>197</v>
      </c>
      <c r="L312" s="329" t="s">
        <v>197</v>
      </c>
      <c r="M312" s="329" t="s">
        <v>197</v>
      </c>
      <c r="N312" s="859">
        <v>6.5</v>
      </c>
      <c r="O312" s="859">
        <f>5.5/2.291</f>
        <v>2.400698384984723</v>
      </c>
      <c r="P312" s="860">
        <f>7.5/1.205</f>
        <v>6.224066390041493</v>
      </c>
      <c r="Q312" s="25"/>
      <c r="R312" s="25"/>
      <c r="S312" s="25"/>
      <c r="T312" s="25"/>
      <c r="U312" s="25"/>
    </row>
    <row r="313" spans="1:21">
      <c r="A313" s="395" t="s">
        <v>161</v>
      </c>
      <c r="B313" s="428"/>
      <c r="C313" s="307"/>
      <c r="D313" s="307"/>
      <c r="E313" s="307"/>
      <c r="F313" s="484"/>
      <c r="G313" s="431"/>
      <c r="H313" s="331">
        <v>0</v>
      </c>
      <c r="I313" s="331">
        <v>0</v>
      </c>
      <c r="J313" s="420" t="s">
        <v>1203</v>
      </c>
      <c r="K313" s="453" t="s">
        <v>197</v>
      </c>
      <c r="L313" s="329" t="s">
        <v>197</v>
      </c>
      <c r="M313" s="329" t="s">
        <v>197</v>
      </c>
      <c r="N313" s="859">
        <v>1.6</v>
      </c>
      <c r="O313" s="859">
        <f>0.7/2.291</f>
        <v>0.30554343081623742</v>
      </c>
      <c r="P313" s="860">
        <f>0.2/1.205</f>
        <v>0.16597510373443983</v>
      </c>
      <c r="Q313" s="25"/>
      <c r="R313" s="25"/>
      <c r="S313" s="25"/>
      <c r="T313" s="25"/>
      <c r="U313" s="25"/>
    </row>
    <row r="314" spans="1:21">
      <c r="A314" s="395" t="s">
        <v>158</v>
      </c>
      <c r="B314" s="428"/>
      <c r="C314" s="307"/>
      <c r="D314" s="307"/>
      <c r="E314" s="307"/>
      <c r="F314" s="484"/>
      <c r="G314" s="431"/>
      <c r="H314" s="331">
        <v>0</v>
      </c>
      <c r="I314" s="331">
        <v>0</v>
      </c>
      <c r="J314" s="420" t="s">
        <v>1203</v>
      </c>
      <c r="K314" s="453" t="s">
        <v>197</v>
      </c>
      <c r="L314" s="329" t="s">
        <v>197</v>
      </c>
      <c r="M314" s="329" t="s">
        <v>197</v>
      </c>
      <c r="N314" s="859">
        <v>7</v>
      </c>
      <c r="O314" s="859">
        <f>2.8/2.291</f>
        <v>1.2221737232649497</v>
      </c>
      <c r="P314" s="860">
        <f>5.3/1.205</f>
        <v>4.3983402489626551</v>
      </c>
      <c r="Q314" s="25"/>
      <c r="R314" s="25"/>
      <c r="S314" s="25"/>
      <c r="T314" s="25"/>
      <c r="U314" s="25"/>
    </row>
    <row r="315" spans="1:21">
      <c r="A315" s="395" t="s">
        <v>66</v>
      </c>
      <c r="B315" s="428"/>
      <c r="C315" s="307"/>
      <c r="D315" s="307"/>
      <c r="E315" s="307"/>
      <c r="F315" s="484"/>
      <c r="G315" s="431"/>
      <c r="H315" s="331">
        <v>0</v>
      </c>
      <c r="I315" s="331">
        <v>0</v>
      </c>
      <c r="J315" s="420" t="s">
        <v>1203</v>
      </c>
      <c r="K315" s="453" t="s">
        <v>197</v>
      </c>
      <c r="L315" s="329" t="s">
        <v>197</v>
      </c>
      <c r="M315" s="329" t="s">
        <v>197</v>
      </c>
      <c r="N315" s="859">
        <v>1.5</v>
      </c>
      <c r="O315" s="859">
        <f>0.5/2.291</f>
        <v>0.21824530772588391</v>
      </c>
      <c r="P315" s="860">
        <f>0.5/1.205</f>
        <v>0.41493775933609955</v>
      </c>
      <c r="Q315" s="25"/>
      <c r="R315" s="25"/>
      <c r="S315" s="25"/>
      <c r="T315" s="25"/>
      <c r="U315" s="25"/>
    </row>
    <row r="316" spans="1:21">
      <c r="A316" s="397"/>
      <c r="B316" s="428"/>
      <c r="C316" s="307"/>
      <c r="D316" s="307"/>
      <c r="E316" s="307"/>
      <c r="F316" s="484"/>
      <c r="G316" s="431"/>
      <c r="H316" s="428"/>
      <c r="I316" s="428"/>
      <c r="J316" s="420"/>
      <c r="K316" s="453"/>
      <c r="L316" s="329"/>
      <c r="M316" s="329"/>
      <c r="N316" s="833"/>
      <c r="O316" s="833"/>
      <c r="P316" s="834"/>
      <c r="Q316" s="25"/>
      <c r="R316" s="25"/>
      <c r="S316" s="25"/>
      <c r="T316" s="25"/>
      <c r="U316" s="25"/>
    </row>
    <row r="317" spans="1:21">
      <c r="A317" s="397" t="s">
        <v>622</v>
      </c>
      <c r="B317" s="428"/>
      <c r="C317" s="307"/>
      <c r="D317" s="307"/>
      <c r="E317" s="307"/>
      <c r="F317" s="484"/>
      <c r="G317" s="431"/>
      <c r="H317" s="428"/>
      <c r="I317" s="428"/>
      <c r="J317" s="420"/>
      <c r="K317" s="453"/>
      <c r="L317" s="329"/>
      <c r="M317" s="329"/>
      <c r="N317" s="833"/>
      <c r="O317" s="833"/>
      <c r="P317" s="834"/>
      <c r="Q317" s="25"/>
      <c r="R317" s="25"/>
      <c r="S317" s="25"/>
      <c r="T317" s="25"/>
      <c r="U317" s="25"/>
    </row>
    <row r="318" spans="1:21">
      <c r="A318" s="395" t="s">
        <v>623</v>
      </c>
      <c r="B318" s="428"/>
      <c r="C318" s="307"/>
      <c r="D318" s="307"/>
      <c r="E318" s="307"/>
      <c r="F318" s="484"/>
      <c r="G318" s="431"/>
      <c r="H318" s="331">
        <v>0</v>
      </c>
      <c r="I318" s="331">
        <v>0</v>
      </c>
      <c r="J318" s="420" t="s">
        <v>1203</v>
      </c>
      <c r="K318" s="453" t="s">
        <v>197</v>
      </c>
      <c r="L318" s="329" t="s">
        <v>197</v>
      </c>
      <c r="M318" s="329" t="s">
        <v>197</v>
      </c>
      <c r="N318" s="859">
        <v>2</v>
      </c>
      <c r="O318" s="859">
        <f>3/2.291</f>
        <v>1.3094718463553034</v>
      </c>
      <c r="P318" s="860">
        <f>0.1/1.205</f>
        <v>8.2987551867219914E-2</v>
      </c>
      <c r="Q318" s="25"/>
      <c r="R318" s="25"/>
      <c r="S318" s="25"/>
      <c r="T318" s="25"/>
      <c r="U318" s="25"/>
    </row>
    <row r="319" spans="1:21">
      <c r="A319" s="395" t="s">
        <v>624</v>
      </c>
      <c r="B319" s="428"/>
      <c r="C319" s="307"/>
      <c r="D319" s="307"/>
      <c r="E319" s="307"/>
      <c r="F319" s="484"/>
      <c r="G319" s="431"/>
      <c r="H319" s="331">
        <v>0</v>
      </c>
      <c r="I319" s="331">
        <v>0</v>
      </c>
      <c r="J319" s="420" t="s">
        <v>1203</v>
      </c>
      <c r="K319" s="453" t="s">
        <v>197</v>
      </c>
      <c r="L319" s="329" t="s">
        <v>197</v>
      </c>
      <c r="M319" s="329" t="s">
        <v>197</v>
      </c>
      <c r="N319" s="859">
        <v>11</v>
      </c>
      <c r="O319" s="859">
        <f>18/2.291</f>
        <v>7.8568310781318207</v>
      </c>
      <c r="P319" s="860">
        <f>0.6/1.205</f>
        <v>0.49792531120331945</v>
      </c>
      <c r="Q319" s="25"/>
      <c r="R319" s="25"/>
      <c r="S319" s="25"/>
      <c r="T319" s="25"/>
      <c r="U319" s="25"/>
    </row>
    <row r="320" spans="1:21">
      <c r="A320" s="395" t="s">
        <v>625</v>
      </c>
      <c r="B320" s="428"/>
      <c r="C320" s="307"/>
      <c r="D320" s="307"/>
      <c r="E320" s="307"/>
      <c r="F320" s="484"/>
      <c r="G320" s="431"/>
      <c r="H320" s="331">
        <v>0</v>
      </c>
      <c r="I320" s="331">
        <v>0</v>
      </c>
      <c r="J320" s="420" t="s">
        <v>1203</v>
      </c>
      <c r="K320" s="453" t="s">
        <v>197</v>
      </c>
      <c r="L320" s="329" t="s">
        <v>197</v>
      </c>
      <c r="M320" s="329" t="s">
        <v>197</v>
      </c>
      <c r="N320" s="859">
        <v>40</v>
      </c>
      <c r="O320" s="859">
        <f>70/2.291</f>
        <v>30.554343081623745</v>
      </c>
      <c r="P320" s="860">
        <f>2/1.205</f>
        <v>1.6597510373443982</v>
      </c>
      <c r="Q320" s="25"/>
      <c r="R320" s="25"/>
      <c r="S320" s="25"/>
      <c r="T320" s="25"/>
      <c r="U320" s="25"/>
    </row>
    <row r="321" spans="1:21" ht="15.75" thickBot="1">
      <c r="A321" s="434" t="s">
        <v>626</v>
      </c>
      <c r="B321" s="439"/>
      <c r="C321" s="436"/>
      <c r="D321" s="436"/>
      <c r="E321" s="436"/>
      <c r="F321" s="486"/>
      <c r="G321" s="438"/>
      <c r="H321" s="490">
        <v>0</v>
      </c>
      <c r="I321" s="490">
        <v>0</v>
      </c>
      <c r="J321" s="487" t="s">
        <v>1203</v>
      </c>
      <c r="K321" s="465" t="s">
        <v>197</v>
      </c>
      <c r="L321" s="551" t="s">
        <v>197</v>
      </c>
      <c r="M321" s="551" t="s">
        <v>197</v>
      </c>
      <c r="N321" s="861">
        <v>8.5</v>
      </c>
      <c r="O321" s="861">
        <f>26/2.291</f>
        <v>11.348756001745963</v>
      </c>
      <c r="P321" s="862">
        <f>0.8/1.205</f>
        <v>0.66390041493775931</v>
      </c>
      <c r="Q321" s="25"/>
      <c r="R321" s="25"/>
      <c r="S321" s="25"/>
      <c r="T321" s="25"/>
      <c r="U321" s="25"/>
    </row>
    <row r="322" spans="1:21" ht="29.25" customHeight="1" thickBot="1">
      <c r="A322" s="412" t="s">
        <v>1680</v>
      </c>
      <c r="B322" s="530"/>
      <c r="C322" s="495"/>
      <c r="D322" s="496"/>
      <c r="E322" s="495"/>
      <c r="F322" s="497"/>
      <c r="G322" s="498"/>
      <c r="H322" s="496" t="s">
        <v>1652</v>
      </c>
      <c r="I322" s="495"/>
      <c r="J322" s="495"/>
      <c r="K322" s="449" t="s">
        <v>1654</v>
      </c>
      <c r="L322" s="450" t="s">
        <v>391</v>
      </c>
      <c r="M322" s="450" t="s">
        <v>249</v>
      </c>
      <c r="N322" s="451" t="s">
        <v>397</v>
      </c>
      <c r="O322" s="451" t="s">
        <v>398</v>
      </c>
      <c r="P322" s="452" t="s">
        <v>399</v>
      </c>
      <c r="Q322" s="25"/>
      <c r="R322" s="25"/>
      <c r="S322" s="25"/>
      <c r="T322" s="25"/>
      <c r="U322" s="25"/>
    </row>
    <row r="323" spans="1:21">
      <c r="A323" s="510" t="s">
        <v>1307</v>
      </c>
      <c r="B323" s="518"/>
      <c r="C323" s="511"/>
      <c r="D323" s="511"/>
      <c r="E323" s="511"/>
      <c r="F323" s="512"/>
      <c r="G323" s="513"/>
      <c r="H323" s="518"/>
      <c r="I323" s="518"/>
      <c r="J323" s="516"/>
      <c r="K323" s="453"/>
      <c r="L323" s="329"/>
      <c r="M323" s="329"/>
      <c r="N323" s="329"/>
      <c r="O323" s="329"/>
      <c r="P323" s="454"/>
      <c r="Q323" s="25"/>
      <c r="R323" s="25"/>
      <c r="S323" s="25"/>
      <c r="T323" s="25"/>
      <c r="U323" s="25"/>
    </row>
    <row r="324" spans="1:21">
      <c r="A324" s="395" t="s">
        <v>1324</v>
      </c>
      <c r="B324" s="428"/>
      <c r="C324" s="307"/>
      <c r="D324" s="307"/>
      <c r="E324" s="307"/>
      <c r="F324" s="484"/>
      <c r="G324" s="431"/>
      <c r="H324" s="331">
        <v>0</v>
      </c>
      <c r="I324" s="35" t="s">
        <v>1203</v>
      </c>
      <c r="J324" s="420"/>
      <c r="K324" s="453" t="s">
        <v>197</v>
      </c>
      <c r="L324" s="329" t="s">
        <v>197</v>
      </c>
      <c r="M324" s="329" t="s">
        <v>197</v>
      </c>
      <c r="N324" s="553">
        <v>340</v>
      </c>
      <c r="O324" s="553">
        <f>0/2.291</f>
        <v>0</v>
      </c>
      <c r="P324" s="554">
        <f>0/1.205</f>
        <v>0</v>
      </c>
      <c r="Q324" s="25"/>
      <c r="R324" s="25"/>
      <c r="S324" s="25"/>
      <c r="T324" s="25"/>
      <c r="U324" s="25"/>
    </row>
    <row r="325" spans="1:21">
      <c r="A325" s="395" t="s">
        <v>1306</v>
      </c>
      <c r="B325" s="428"/>
      <c r="C325" s="307"/>
      <c r="D325" s="307"/>
      <c r="E325" s="307"/>
      <c r="F325" s="484"/>
      <c r="G325" s="431"/>
      <c r="H325" s="331">
        <v>0</v>
      </c>
      <c r="I325" s="35" t="s">
        <v>1203</v>
      </c>
      <c r="J325" s="420"/>
      <c r="K325" s="453" t="s">
        <v>197</v>
      </c>
      <c r="L325" s="329" t="s">
        <v>197</v>
      </c>
      <c r="M325" s="329" t="s">
        <v>197</v>
      </c>
      <c r="N325" s="553">
        <v>210</v>
      </c>
      <c r="O325" s="553">
        <v>0</v>
      </c>
      <c r="P325" s="554">
        <v>0</v>
      </c>
      <c r="Q325" s="25"/>
      <c r="R325" s="25"/>
      <c r="S325" s="25"/>
      <c r="T325" s="25"/>
      <c r="U325" s="25"/>
    </row>
    <row r="326" spans="1:21">
      <c r="A326" s="395" t="s">
        <v>1311</v>
      </c>
      <c r="B326" s="428"/>
      <c r="C326" s="307"/>
      <c r="D326" s="307"/>
      <c r="E326" s="307"/>
      <c r="F326" s="484"/>
      <c r="G326" s="431"/>
      <c r="H326" s="331">
        <v>0</v>
      </c>
      <c r="I326" s="35" t="s">
        <v>1203</v>
      </c>
      <c r="J326" s="420"/>
      <c r="K326" s="453" t="s">
        <v>197</v>
      </c>
      <c r="L326" s="329" t="s">
        <v>197</v>
      </c>
      <c r="M326" s="329" t="s">
        <v>197</v>
      </c>
      <c r="N326" s="553">
        <v>240</v>
      </c>
      <c r="O326" s="553">
        <f>0/2.291</f>
        <v>0</v>
      </c>
      <c r="P326" s="554">
        <f>0/1.205</f>
        <v>0</v>
      </c>
      <c r="Q326" s="25"/>
      <c r="R326" s="25"/>
      <c r="S326" s="25"/>
      <c r="T326" s="25"/>
      <c r="U326" s="25"/>
    </row>
    <row r="327" spans="1:21">
      <c r="A327" s="395" t="s">
        <v>1310</v>
      </c>
      <c r="B327" s="428"/>
      <c r="C327" s="307"/>
      <c r="D327" s="307"/>
      <c r="E327" s="307"/>
      <c r="F327" s="484"/>
      <c r="G327" s="431"/>
      <c r="H327" s="331">
        <v>0</v>
      </c>
      <c r="I327" s="35" t="s">
        <v>1203</v>
      </c>
      <c r="J327" s="420"/>
      <c r="K327" s="453" t="s">
        <v>197</v>
      </c>
      <c r="L327" s="329" t="s">
        <v>197</v>
      </c>
      <c r="M327" s="329" t="s">
        <v>197</v>
      </c>
      <c r="N327" s="553">
        <v>270</v>
      </c>
      <c r="O327" s="553">
        <v>0</v>
      </c>
      <c r="P327" s="554">
        <v>0</v>
      </c>
      <c r="Q327" s="25"/>
      <c r="R327" s="25"/>
      <c r="S327" s="25"/>
      <c r="T327" s="25"/>
      <c r="U327" s="25"/>
    </row>
    <row r="328" spans="1:21">
      <c r="A328" s="395" t="s">
        <v>1305</v>
      </c>
      <c r="B328" s="428"/>
      <c r="C328" s="307"/>
      <c r="D328" s="307"/>
      <c r="E328" s="307"/>
      <c r="F328" s="484"/>
      <c r="G328" s="431"/>
      <c r="H328" s="331">
        <v>0</v>
      </c>
      <c r="I328" s="35" t="s">
        <v>1203</v>
      </c>
      <c r="J328" s="420"/>
      <c r="K328" s="453" t="s">
        <v>197</v>
      </c>
      <c r="L328" s="329" t="s">
        <v>197</v>
      </c>
      <c r="M328" s="329" t="s">
        <v>197</v>
      </c>
      <c r="N328" s="553">
        <v>155</v>
      </c>
      <c r="O328" s="553">
        <v>0</v>
      </c>
      <c r="P328" s="554">
        <v>0</v>
      </c>
      <c r="Q328" s="25"/>
      <c r="R328" s="25"/>
      <c r="S328" s="25"/>
      <c r="T328" s="25"/>
      <c r="U328" s="25"/>
    </row>
    <row r="329" spans="1:21">
      <c r="A329" s="395" t="s">
        <v>458</v>
      </c>
      <c r="B329" s="428"/>
      <c r="C329" s="307"/>
      <c r="D329" s="307"/>
      <c r="E329" s="307"/>
      <c r="F329" s="484"/>
      <c r="G329" s="431"/>
      <c r="H329" s="331">
        <v>0</v>
      </c>
      <c r="I329" s="35" t="s">
        <v>1203</v>
      </c>
      <c r="J329" s="420"/>
      <c r="K329" s="453" t="s">
        <v>197</v>
      </c>
      <c r="L329" s="329" t="s">
        <v>197</v>
      </c>
      <c r="M329" s="329" t="s">
        <v>197</v>
      </c>
      <c r="N329" s="553">
        <v>460</v>
      </c>
      <c r="O329" s="553">
        <f>0/2.291</f>
        <v>0</v>
      </c>
      <c r="P329" s="554">
        <f>0/1.205</f>
        <v>0</v>
      </c>
      <c r="Q329" s="25"/>
      <c r="R329" s="25"/>
      <c r="S329" s="25"/>
      <c r="T329" s="25"/>
      <c r="U329" s="25"/>
    </row>
    <row r="330" spans="1:21">
      <c r="A330" s="395"/>
      <c r="B330" s="428"/>
      <c r="C330" s="307"/>
      <c r="D330" s="307"/>
      <c r="E330" s="307"/>
      <c r="F330" s="484"/>
      <c r="G330" s="431"/>
      <c r="H330" s="845"/>
      <c r="I330" s="35"/>
      <c r="J330" s="420"/>
      <c r="K330" s="453"/>
      <c r="L330" s="329"/>
      <c r="M330" s="329"/>
      <c r="N330" s="863"/>
      <c r="O330" s="863"/>
      <c r="P330" s="864"/>
      <c r="Q330" s="25"/>
      <c r="R330" s="25"/>
      <c r="S330" s="25"/>
      <c r="T330" s="25"/>
      <c r="U330" s="25"/>
    </row>
    <row r="331" spans="1:21">
      <c r="A331" s="397" t="s">
        <v>1308</v>
      </c>
      <c r="B331" s="428"/>
      <c r="C331" s="307"/>
      <c r="D331" s="307"/>
      <c r="E331" s="307"/>
      <c r="F331" s="484"/>
      <c r="G331" s="431"/>
      <c r="H331" s="845"/>
      <c r="I331" s="35"/>
      <c r="J331" s="420"/>
      <c r="K331" s="453"/>
      <c r="L331" s="329"/>
      <c r="M331" s="329"/>
      <c r="N331" s="863"/>
      <c r="O331" s="863"/>
      <c r="P331" s="864"/>
      <c r="Q331" s="25"/>
      <c r="R331" s="25"/>
      <c r="S331" s="25"/>
      <c r="T331" s="25"/>
      <c r="U331" s="25"/>
    </row>
    <row r="332" spans="1:21">
      <c r="A332" s="395" t="s">
        <v>1312</v>
      </c>
      <c r="B332" s="428"/>
      <c r="C332" s="307"/>
      <c r="D332" s="307"/>
      <c r="E332" s="307"/>
      <c r="F332" s="484"/>
      <c r="G332" s="431"/>
      <c r="H332" s="331">
        <v>0</v>
      </c>
      <c r="I332" s="35" t="s">
        <v>1203</v>
      </c>
      <c r="J332" s="420"/>
      <c r="K332" s="453" t="s">
        <v>197</v>
      </c>
      <c r="L332" s="329" t="s">
        <v>197</v>
      </c>
      <c r="M332" s="329" t="s">
        <v>197</v>
      </c>
      <c r="N332" s="553">
        <v>0</v>
      </c>
      <c r="O332" s="553">
        <v>198</v>
      </c>
      <c r="P332" s="554">
        <f>0/1.205</f>
        <v>0</v>
      </c>
      <c r="Q332" s="25"/>
      <c r="R332" s="25"/>
      <c r="S332" s="25"/>
      <c r="T332" s="25"/>
      <c r="U332" s="25"/>
    </row>
    <row r="333" spans="1:21">
      <c r="A333" s="395" t="s">
        <v>1313</v>
      </c>
      <c r="B333" s="428"/>
      <c r="C333" s="307"/>
      <c r="D333" s="307"/>
      <c r="E333" s="307"/>
      <c r="F333" s="484"/>
      <c r="G333" s="431"/>
      <c r="H333" s="331">
        <v>0</v>
      </c>
      <c r="I333" s="35" t="s">
        <v>1203</v>
      </c>
      <c r="J333" s="420"/>
      <c r="K333" s="453" t="s">
        <v>197</v>
      </c>
      <c r="L333" s="329" t="s">
        <v>197</v>
      </c>
      <c r="M333" s="329" t="s">
        <v>197</v>
      </c>
      <c r="N333" s="553">
        <v>180</v>
      </c>
      <c r="O333" s="553">
        <v>200.7</v>
      </c>
      <c r="P333" s="554">
        <v>0</v>
      </c>
      <c r="Q333" s="25"/>
      <c r="R333" s="25"/>
      <c r="S333" s="25"/>
      <c r="T333" s="25"/>
      <c r="U333" s="25"/>
    </row>
    <row r="334" spans="1:21">
      <c r="A334" s="395" t="s">
        <v>1314</v>
      </c>
      <c r="B334" s="428"/>
      <c r="C334" s="307"/>
      <c r="D334" s="307"/>
      <c r="E334" s="307"/>
      <c r="F334" s="484"/>
      <c r="G334" s="431"/>
      <c r="H334" s="331">
        <v>0</v>
      </c>
      <c r="I334" s="35" t="s">
        <v>1203</v>
      </c>
      <c r="J334" s="420"/>
      <c r="K334" s="453" t="s">
        <v>197</v>
      </c>
      <c r="L334" s="329" t="s">
        <v>197</v>
      </c>
      <c r="M334" s="329" t="s">
        <v>197</v>
      </c>
      <c r="N334" s="553">
        <v>120</v>
      </c>
      <c r="O334" s="553">
        <v>226.9</v>
      </c>
      <c r="P334" s="554">
        <v>0</v>
      </c>
      <c r="Q334" s="25"/>
      <c r="R334" s="25"/>
      <c r="S334" s="25"/>
      <c r="T334" s="25"/>
      <c r="U334" s="25"/>
    </row>
    <row r="335" spans="1:21">
      <c r="A335" s="395" t="s">
        <v>199</v>
      </c>
      <c r="B335" s="428"/>
      <c r="C335" s="307"/>
      <c r="D335" s="307"/>
      <c r="E335" s="307"/>
      <c r="F335" s="484"/>
      <c r="G335" s="431"/>
      <c r="H335" s="331">
        <v>0</v>
      </c>
      <c r="I335" s="35" t="s">
        <v>1203</v>
      </c>
      <c r="J335" s="420"/>
      <c r="K335" s="453" t="s">
        <v>197</v>
      </c>
      <c r="L335" s="329" t="s">
        <v>197</v>
      </c>
      <c r="M335" s="329" t="s">
        <v>197</v>
      </c>
      <c r="N335" s="553">
        <v>0</v>
      </c>
      <c r="O335" s="553">
        <v>117.8</v>
      </c>
      <c r="P335" s="554">
        <v>0</v>
      </c>
      <c r="Q335" s="25"/>
      <c r="R335" s="25"/>
      <c r="S335" s="25"/>
      <c r="T335" s="25"/>
      <c r="U335" s="25"/>
    </row>
    <row r="336" spans="1:21">
      <c r="A336" s="395"/>
      <c r="B336" s="428"/>
      <c r="C336" s="307"/>
      <c r="D336" s="307"/>
      <c r="E336" s="307"/>
      <c r="F336" s="484"/>
      <c r="G336" s="431"/>
      <c r="H336" s="431"/>
      <c r="I336" s="35"/>
      <c r="J336" s="420"/>
      <c r="K336" s="453"/>
      <c r="L336" s="329"/>
      <c r="M336" s="329"/>
      <c r="N336" s="863"/>
      <c r="O336" s="863"/>
      <c r="P336" s="864"/>
      <c r="Q336" s="25"/>
      <c r="R336" s="25"/>
      <c r="S336" s="25"/>
      <c r="T336" s="25"/>
      <c r="U336" s="25"/>
    </row>
    <row r="337" spans="1:21">
      <c r="A337" s="397" t="s">
        <v>1321</v>
      </c>
      <c r="B337" s="428"/>
      <c r="C337" s="307"/>
      <c r="D337" s="307"/>
      <c r="E337" s="307"/>
      <c r="F337" s="484"/>
      <c r="G337" s="431"/>
      <c r="H337" s="431"/>
      <c r="I337" s="35"/>
      <c r="J337" s="420"/>
      <c r="K337" s="453"/>
      <c r="L337" s="329"/>
      <c r="M337" s="329"/>
      <c r="N337" s="863"/>
      <c r="O337" s="863"/>
      <c r="P337" s="864"/>
      <c r="Q337" s="25"/>
      <c r="R337" s="25"/>
      <c r="S337" s="25"/>
      <c r="T337" s="25"/>
      <c r="U337" s="25"/>
    </row>
    <row r="338" spans="1:21">
      <c r="A338" s="395" t="s">
        <v>1315</v>
      </c>
      <c r="B338" s="428"/>
      <c r="C338" s="307"/>
      <c r="D338" s="307"/>
      <c r="E338" s="307"/>
      <c r="F338" s="484"/>
      <c r="G338" s="431"/>
      <c r="H338" s="331">
        <v>0</v>
      </c>
      <c r="I338" s="35" t="s">
        <v>1203</v>
      </c>
      <c r="J338" s="420"/>
      <c r="K338" s="453" t="s">
        <v>197</v>
      </c>
      <c r="L338" s="329" t="s">
        <v>197</v>
      </c>
      <c r="M338" s="329" t="s">
        <v>197</v>
      </c>
      <c r="N338" s="553">
        <v>0</v>
      </c>
      <c r="O338" s="553">
        <f>0/2.291</f>
        <v>0</v>
      </c>
      <c r="P338" s="554">
        <f>600/1.205</f>
        <v>497.9253112033195</v>
      </c>
      <c r="Q338" s="25"/>
      <c r="R338" s="25"/>
      <c r="S338" s="25"/>
      <c r="T338" s="25"/>
      <c r="U338" s="25"/>
    </row>
    <row r="339" spans="1:21">
      <c r="A339" s="395" t="s">
        <v>1316</v>
      </c>
      <c r="B339" s="428"/>
      <c r="C339" s="307"/>
      <c r="D339" s="307"/>
      <c r="E339" s="307"/>
      <c r="F339" s="484"/>
      <c r="G339" s="431"/>
      <c r="H339" s="331">
        <v>0</v>
      </c>
      <c r="I339" s="35" t="s">
        <v>1203</v>
      </c>
      <c r="J339" s="420"/>
      <c r="K339" s="453" t="s">
        <v>197</v>
      </c>
      <c r="L339" s="329" t="s">
        <v>197</v>
      </c>
      <c r="M339" s="329" t="s">
        <v>197</v>
      </c>
      <c r="N339" s="553">
        <v>0</v>
      </c>
      <c r="O339" s="553">
        <v>0</v>
      </c>
      <c r="P339" s="554">
        <f>500/1.205</f>
        <v>414.93775933609959</v>
      </c>
      <c r="Q339" s="25"/>
      <c r="R339" s="25"/>
      <c r="S339" s="25"/>
      <c r="T339" s="25"/>
      <c r="U339" s="25"/>
    </row>
    <row r="340" spans="1:21">
      <c r="A340" s="395" t="s">
        <v>1317</v>
      </c>
      <c r="B340" s="428"/>
      <c r="C340" s="307"/>
      <c r="D340" s="307"/>
      <c r="E340" s="307"/>
      <c r="F340" s="484"/>
      <c r="G340" s="431"/>
      <c r="H340" s="331">
        <v>0</v>
      </c>
      <c r="I340" s="35" t="s">
        <v>1203</v>
      </c>
      <c r="J340" s="420"/>
      <c r="K340" s="453" t="s">
        <v>197</v>
      </c>
      <c r="L340" s="329" t="s">
        <v>197</v>
      </c>
      <c r="M340" s="329" t="s">
        <v>197</v>
      </c>
      <c r="N340" s="553">
        <v>0</v>
      </c>
      <c r="O340" s="553">
        <v>0</v>
      </c>
      <c r="P340" s="554">
        <f>450/1.205</f>
        <v>373.44398340248961</v>
      </c>
      <c r="Q340" s="25"/>
      <c r="R340" s="25"/>
      <c r="S340" s="25"/>
      <c r="T340" s="25"/>
      <c r="U340" s="25"/>
    </row>
    <row r="341" spans="1:21">
      <c r="A341" s="395" t="s">
        <v>167</v>
      </c>
      <c r="B341" s="428"/>
      <c r="C341" s="307"/>
      <c r="D341" s="307"/>
      <c r="E341" s="307"/>
      <c r="F341" s="484"/>
      <c r="G341" s="431"/>
      <c r="H341" s="331">
        <v>0</v>
      </c>
      <c r="I341" s="35" t="s">
        <v>1203</v>
      </c>
      <c r="J341" s="420"/>
      <c r="K341" s="453" t="s">
        <v>197</v>
      </c>
      <c r="L341" s="329" t="s">
        <v>197</v>
      </c>
      <c r="M341" s="329" t="s">
        <v>197</v>
      </c>
      <c r="N341" s="553">
        <v>0</v>
      </c>
      <c r="O341" s="553">
        <v>0</v>
      </c>
      <c r="P341" s="554">
        <v>83</v>
      </c>
      <c r="Q341" s="25"/>
      <c r="R341" s="25"/>
      <c r="S341" s="25"/>
      <c r="T341" s="25"/>
      <c r="U341" s="25"/>
    </row>
    <row r="342" spans="1:21">
      <c r="A342" s="395" t="s">
        <v>1318</v>
      </c>
      <c r="B342" s="428"/>
      <c r="C342" s="307"/>
      <c r="D342" s="307"/>
      <c r="E342" s="307"/>
      <c r="F342" s="484"/>
      <c r="G342" s="431"/>
      <c r="H342" s="331">
        <v>0</v>
      </c>
      <c r="I342" s="35" t="s">
        <v>1203</v>
      </c>
      <c r="J342" s="420"/>
      <c r="K342" s="453" t="s">
        <v>197</v>
      </c>
      <c r="L342" s="329" t="s">
        <v>197</v>
      </c>
      <c r="M342" s="329" t="s">
        <v>197</v>
      </c>
      <c r="N342" s="553">
        <v>0</v>
      </c>
      <c r="O342" s="553">
        <v>0</v>
      </c>
      <c r="P342" s="554">
        <f>110/1.205</f>
        <v>91.286307053941897</v>
      </c>
      <c r="Q342" s="25"/>
      <c r="R342" s="25"/>
      <c r="S342" s="25"/>
      <c r="T342" s="25"/>
      <c r="U342" s="25"/>
    </row>
    <row r="343" spans="1:21">
      <c r="A343" s="395" t="s">
        <v>1319</v>
      </c>
      <c r="B343" s="428"/>
      <c r="C343" s="307"/>
      <c r="D343" s="307"/>
      <c r="E343" s="307"/>
      <c r="F343" s="484"/>
      <c r="G343" s="431"/>
      <c r="H343" s="331">
        <v>0</v>
      </c>
      <c r="I343" s="35" t="s">
        <v>1203</v>
      </c>
      <c r="J343" s="420"/>
      <c r="K343" s="453" t="s">
        <v>197</v>
      </c>
      <c r="L343" s="329" t="s">
        <v>197</v>
      </c>
      <c r="M343" s="329" t="s">
        <v>197</v>
      </c>
      <c r="N343" s="553">
        <v>0</v>
      </c>
      <c r="O343" s="553">
        <v>0</v>
      </c>
      <c r="P343" s="554">
        <v>29</v>
      </c>
      <c r="Q343" s="25"/>
      <c r="R343" s="25"/>
      <c r="S343" s="25"/>
      <c r="T343" s="25"/>
      <c r="U343" s="25"/>
    </row>
    <row r="344" spans="1:21">
      <c r="A344" s="395" t="s">
        <v>404</v>
      </c>
      <c r="B344" s="428"/>
      <c r="C344" s="307"/>
      <c r="D344" s="307"/>
      <c r="E344" s="307"/>
      <c r="F344" s="484"/>
      <c r="G344" s="431"/>
      <c r="H344" s="331">
        <v>0</v>
      </c>
      <c r="I344" s="35" t="s">
        <v>1203</v>
      </c>
      <c r="J344" s="420"/>
      <c r="K344" s="453" t="s">
        <v>197</v>
      </c>
      <c r="L344" s="329" t="s">
        <v>197</v>
      </c>
      <c r="M344" s="329" t="s">
        <v>197</v>
      </c>
      <c r="N344" s="553">
        <v>0</v>
      </c>
      <c r="O344" s="553">
        <v>0</v>
      </c>
      <c r="P344" s="554">
        <v>66.400000000000006</v>
      </c>
      <c r="Q344" s="25"/>
      <c r="R344" s="25"/>
      <c r="S344" s="25"/>
      <c r="T344" s="25"/>
      <c r="U344" s="25"/>
    </row>
    <row r="345" spans="1:21">
      <c r="A345" s="395" t="s">
        <v>1309</v>
      </c>
      <c r="B345" s="428"/>
      <c r="C345" s="307"/>
      <c r="D345" s="307"/>
      <c r="E345" s="307"/>
      <c r="F345" s="484"/>
      <c r="G345" s="431"/>
      <c r="H345" s="331">
        <v>0</v>
      </c>
      <c r="I345" s="35" t="s">
        <v>1203</v>
      </c>
      <c r="J345" s="420"/>
      <c r="K345" s="453" t="s">
        <v>197</v>
      </c>
      <c r="L345" s="329" t="s">
        <v>197</v>
      </c>
      <c r="M345" s="329" t="s">
        <v>197</v>
      </c>
      <c r="N345" s="553">
        <v>0</v>
      </c>
      <c r="O345" s="553">
        <v>0</v>
      </c>
      <c r="P345" s="554">
        <v>29</v>
      </c>
      <c r="Q345" s="25"/>
      <c r="R345" s="25"/>
      <c r="S345" s="25"/>
      <c r="T345" s="25"/>
      <c r="U345" s="25"/>
    </row>
    <row r="346" spans="1:21">
      <c r="A346" s="395" t="s">
        <v>162</v>
      </c>
      <c r="B346" s="428"/>
      <c r="C346" s="307"/>
      <c r="D346" s="307"/>
      <c r="E346" s="307"/>
      <c r="F346" s="484"/>
      <c r="G346" s="431"/>
      <c r="H346" s="331">
        <v>0</v>
      </c>
      <c r="I346" s="35" t="s">
        <v>1203</v>
      </c>
      <c r="J346" s="420"/>
      <c r="K346" s="453" t="s">
        <v>197</v>
      </c>
      <c r="L346" s="329" t="s">
        <v>197</v>
      </c>
      <c r="M346" s="329" t="s">
        <v>197</v>
      </c>
      <c r="N346" s="553">
        <v>0</v>
      </c>
      <c r="O346" s="553">
        <v>0</v>
      </c>
      <c r="P346" s="554">
        <v>215.8</v>
      </c>
      <c r="Q346" s="25"/>
      <c r="R346" s="25"/>
      <c r="S346" s="25"/>
      <c r="T346" s="25"/>
      <c r="U346" s="25"/>
    </row>
    <row r="347" spans="1:21">
      <c r="A347" s="395" t="s">
        <v>168</v>
      </c>
      <c r="B347" s="428"/>
      <c r="C347" s="307"/>
      <c r="D347" s="307"/>
      <c r="E347" s="307"/>
      <c r="F347" s="484"/>
      <c r="G347" s="431"/>
      <c r="H347" s="331">
        <v>0</v>
      </c>
      <c r="I347" s="35" t="s">
        <v>1203</v>
      </c>
      <c r="J347" s="420"/>
      <c r="K347" s="453" t="s">
        <v>197</v>
      </c>
      <c r="L347" s="329" t="s">
        <v>197</v>
      </c>
      <c r="M347" s="326" t="s">
        <v>197</v>
      </c>
      <c r="N347" s="553">
        <f>AVERAGE(N345:N346)</f>
        <v>0</v>
      </c>
      <c r="O347" s="553">
        <f>AVERAGE(O345:O346)</f>
        <v>0</v>
      </c>
      <c r="P347" s="554">
        <v>332</v>
      </c>
      <c r="Q347" s="25"/>
      <c r="R347" s="25"/>
      <c r="S347" s="25"/>
      <c r="T347" s="25"/>
      <c r="U347" s="25"/>
    </row>
    <row r="348" spans="1:21">
      <c r="A348" s="395" t="s">
        <v>633</v>
      </c>
      <c r="B348" s="428"/>
      <c r="C348" s="307"/>
      <c r="D348" s="307"/>
      <c r="E348" s="307"/>
      <c r="F348" s="484"/>
      <c r="G348" s="431"/>
      <c r="H348" s="331">
        <v>0</v>
      </c>
      <c r="I348" s="35" t="s">
        <v>1203</v>
      </c>
      <c r="J348" s="420"/>
      <c r="K348" s="453" t="s">
        <v>197</v>
      </c>
      <c r="L348" s="329" t="s">
        <v>197</v>
      </c>
      <c r="M348" s="329" t="s">
        <v>197</v>
      </c>
      <c r="N348" s="553">
        <v>0</v>
      </c>
      <c r="O348" s="303">
        <v>0</v>
      </c>
      <c r="P348" s="446">
        <v>252</v>
      </c>
      <c r="Q348" s="25"/>
      <c r="R348" s="25"/>
      <c r="S348" s="25"/>
      <c r="T348" s="25"/>
      <c r="U348" s="25"/>
    </row>
    <row r="349" spans="1:21">
      <c r="A349" s="395"/>
      <c r="B349" s="428"/>
      <c r="C349" s="307"/>
      <c r="D349" s="307"/>
      <c r="E349" s="307"/>
      <c r="F349" s="484"/>
      <c r="G349" s="431"/>
      <c r="H349" s="431"/>
      <c r="I349" s="35"/>
      <c r="J349" s="420"/>
      <c r="K349" s="453"/>
      <c r="L349" s="329"/>
      <c r="M349" s="329"/>
      <c r="N349" s="863"/>
      <c r="O349" s="863"/>
      <c r="P349" s="864"/>
      <c r="Q349" s="25"/>
      <c r="R349" s="25"/>
      <c r="S349" s="25"/>
      <c r="T349" s="25"/>
      <c r="U349" s="25"/>
    </row>
    <row r="350" spans="1:21">
      <c r="A350" s="397" t="s">
        <v>1320</v>
      </c>
      <c r="B350" s="428"/>
      <c r="C350" s="307"/>
      <c r="D350" s="307"/>
      <c r="E350" s="307"/>
      <c r="F350" s="484"/>
      <c r="G350" s="431"/>
      <c r="H350" s="519"/>
      <c r="I350" s="519"/>
      <c r="J350" s="520"/>
      <c r="K350" s="453"/>
      <c r="L350" s="329"/>
      <c r="M350" s="329"/>
      <c r="N350" s="863"/>
      <c r="O350" s="863"/>
      <c r="P350" s="864"/>
      <c r="Q350" s="25"/>
      <c r="R350" s="25"/>
      <c r="S350" s="25"/>
      <c r="T350" s="25"/>
      <c r="U350" s="25"/>
    </row>
    <row r="351" spans="1:21">
      <c r="A351" s="395" t="s">
        <v>1322</v>
      </c>
      <c r="B351" s="428"/>
      <c r="C351" s="307"/>
      <c r="D351" s="307"/>
      <c r="E351" s="307"/>
      <c r="F351" s="484"/>
      <c r="G351" s="431"/>
      <c r="H351" s="331">
        <v>0</v>
      </c>
      <c r="I351" s="35" t="s">
        <v>1203</v>
      </c>
      <c r="J351" s="420"/>
      <c r="K351" s="453" t="s">
        <v>197</v>
      </c>
      <c r="L351" s="329" t="s">
        <v>197</v>
      </c>
      <c r="M351" s="329" t="s">
        <v>197</v>
      </c>
      <c r="N351" s="553">
        <v>0</v>
      </c>
      <c r="O351" s="553">
        <v>210</v>
      </c>
      <c r="P351" s="554">
        <v>0</v>
      </c>
      <c r="Q351" s="25"/>
      <c r="R351" s="25"/>
      <c r="S351" s="25"/>
      <c r="T351" s="25"/>
      <c r="U351" s="25"/>
    </row>
    <row r="352" spans="1:21">
      <c r="A352" s="395" t="s">
        <v>1323</v>
      </c>
      <c r="B352" s="428"/>
      <c r="C352" s="307"/>
      <c r="D352" s="307"/>
      <c r="E352" s="307"/>
      <c r="F352" s="484"/>
      <c r="G352" s="431"/>
      <c r="H352" s="325">
        <v>0</v>
      </c>
      <c r="I352" s="35" t="s">
        <v>1203</v>
      </c>
      <c r="J352" s="420"/>
      <c r="K352" s="453" t="s">
        <v>197</v>
      </c>
      <c r="L352" s="329" t="s">
        <v>197</v>
      </c>
      <c r="M352" s="329" t="s">
        <v>197</v>
      </c>
      <c r="N352" s="553">
        <v>0</v>
      </c>
      <c r="O352" s="553">
        <f>200/2.291</f>
        <v>87.298123090353556</v>
      </c>
      <c r="P352" s="554">
        <f>100/1.205</f>
        <v>82.987551867219906</v>
      </c>
      <c r="Q352" s="25"/>
      <c r="R352" s="25"/>
      <c r="S352" s="25"/>
      <c r="T352" s="25"/>
      <c r="U352" s="25"/>
    </row>
    <row r="353" spans="1:37">
      <c r="A353" s="395" t="s">
        <v>1298</v>
      </c>
      <c r="B353" s="428"/>
      <c r="C353" s="307"/>
      <c r="D353" s="307"/>
      <c r="E353" s="307"/>
      <c r="F353" s="484"/>
      <c r="G353" s="431"/>
      <c r="H353" s="331">
        <v>0</v>
      </c>
      <c r="I353" s="35" t="s">
        <v>1203</v>
      </c>
      <c r="J353" s="420"/>
      <c r="K353" s="453" t="s">
        <v>197</v>
      </c>
      <c r="L353" s="329" t="s">
        <v>197</v>
      </c>
      <c r="M353" s="329" t="s">
        <v>197</v>
      </c>
      <c r="N353" s="553">
        <v>0</v>
      </c>
      <c r="O353" s="553">
        <v>0</v>
      </c>
      <c r="P353" s="554">
        <v>0</v>
      </c>
      <c r="Q353" s="25"/>
      <c r="R353" s="25"/>
      <c r="S353" s="25"/>
      <c r="T353" s="25"/>
      <c r="U353" s="25"/>
    </row>
    <row r="354" spans="1:37">
      <c r="A354" s="395" t="s">
        <v>487</v>
      </c>
      <c r="B354" s="428"/>
      <c r="C354" s="307"/>
      <c r="D354" s="307"/>
      <c r="E354" s="307"/>
      <c r="F354" s="484"/>
      <c r="G354" s="431"/>
      <c r="H354" s="331">
        <v>0</v>
      </c>
      <c r="I354" s="35" t="s">
        <v>1203</v>
      </c>
      <c r="J354" s="420"/>
      <c r="K354" s="453" t="s">
        <v>197</v>
      </c>
      <c r="L354" s="329" t="s">
        <v>197</v>
      </c>
      <c r="M354" s="329" t="s">
        <v>197</v>
      </c>
      <c r="N354" s="553">
        <v>0</v>
      </c>
      <c r="O354" s="553">
        <v>0</v>
      </c>
      <c r="P354" s="554">
        <v>0</v>
      </c>
      <c r="Q354" s="25"/>
      <c r="R354" s="25"/>
      <c r="S354" s="25"/>
      <c r="T354" s="25"/>
      <c r="U354" s="25"/>
    </row>
    <row r="355" spans="1:37">
      <c r="A355" s="395" t="s">
        <v>486</v>
      </c>
      <c r="B355" s="428"/>
      <c r="C355" s="307"/>
      <c r="D355" s="307"/>
      <c r="E355" s="307"/>
      <c r="F355" s="484"/>
      <c r="G355" s="431"/>
      <c r="H355" s="331">
        <v>0</v>
      </c>
      <c r="I355" s="35" t="s">
        <v>1203</v>
      </c>
      <c r="J355" s="420"/>
      <c r="K355" s="453" t="s">
        <v>197</v>
      </c>
      <c r="L355" s="329" t="s">
        <v>197</v>
      </c>
      <c r="M355" s="329" t="s">
        <v>197</v>
      </c>
      <c r="N355" s="553">
        <v>0</v>
      </c>
      <c r="O355" s="553">
        <v>0</v>
      </c>
      <c r="P355" s="554">
        <v>0</v>
      </c>
      <c r="Q355" s="25"/>
      <c r="R355" s="25"/>
      <c r="S355" s="25"/>
      <c r="T355" s="25"/>
      <c r="U355" s="25"/>
    </row>
    <row r="356" spans="1:37">
      <c r="A356" s="395" t="s">
        <v>486</v>
      </c>
      <c r="B356" s="428"/>
      <c r="C356" s="307"/>
      <c r="D356" s="307"/>
      <c r="E356" s="307"/>
      <c r="F356" s="484"/>
      <c r="G356" s="431"/>
      <c r="H356" s="331">
        <v>0</v>
      </c>
      <c r="I356" s="35" t="s">
        <v>1203</v>
      </c>
      <c r="J356" s="420"/>
      <c r="K356" s="453" t="s">
        <v>197</v>
      </c>
      <c r="L356" s="329" t="s">
        <v>197</v>
      </c>
      <c r="M356" s="329" t="s">
        <v>197</v>
      </c>
      <c r="N356" s="553">
        <v>0</v>
      </c>
      <c r="O356" s="553">
        <v>0</v>
      </c>
      <c r="P356" s="554">
        <v>0</v>
      </c>
      <c r="Q356" s="25"/>
      <c r="R356" s="25"/>
      <c r="S356" s="25"/>
      <c r="T356" s="25"/>
      <c r="U356" s="25"/>
    </row>
    <row r="357" spans="1:37" ht="15.75" thickBot="1">
      <c r="A357" s="434"/>
      <c r="B357" s="439"/>
      <c r="C357" s="436"/>
      <c r="D357" s="436"/>
      <c r="E357" s="436"/>
      <c r="F357" s="486"/>
      <c r="G357" s="438"/>
      <c r="H357" s="439"/>
      <c r="I357" s="439"/>
      <c r="J357" s="487"/>
      <c r="K357" s="465"/>
      <c r="L357" s="551"/>
      <c r="M357" s="551"/>
      <c r="N357" s="466"/>
      <c r="O357" s="466"/>
      <c r="P357" s="467"/>
      <c r="Q357" s="25"/>
      <c r="R357" s="25"/>
      <c r="S357" s="25"/>
      <c r="T357" s="25"/>
      <c r="U357" s="25"/>
    </row>
    <row r="358" spans="1:37" hidden="1">
      <c r="A358" s="401"/>
      <c r="B358" s="311"/>
      <c r="C358" s="311"/>
      <c r="D358" s="311"/>
      <c r="E358" s="311"/>
      <c r="F358" s="312"/>
      <c r="G358" s="348"/>
      <c r="H358" s="313"/>
      <c r="I358" s="313"/>
      <c r="K358" s="346"/>
      <c r="L358" s="315"/>
      <c r="M358" s="315"/>
      <c r="N358" s="347"/>
      <c r="O358" s="347"/>
      <c r="P358" s="347"/>
      <c r="Q358" s="25"/>
      <c r="R358" s="25"/>
      <c r="S358" s="25"/>
      <c r="T358" s="25"/>
      <c r="U358" s="25"/>
      <c r="AB358" s="25" t="s">
        <v>251</v>
      </c>
      <c r="AD358" s="249" t="e">
        <f>AD142/SUM($AD$142,$AD$139,$AD$136,$AD$129,$AD$125,$AD$119)</f>
        <v>#DIV/0!</v>
      </c>
      <c r="AE358" s="25" t="s">
        <v>251</v>
      </c>
      <c r="AF358"/>
      <c r="AG358"/>
      <c r="AH358"/>
      <c r="AI358"/>
      <c r="AJ358"/>
      <c r="AK358"/>
    </row>
    <row r="359" spans="1:37" hidden="1">
      <c r="A359" s="399"/>
      <c r="B359" s="44"/>
      <c r="C359" s="44"/>
      <c r="D359" s="44"/>
      <c r="E359" s="44"/>
      <c r="F359" s="309"/>
      <c r="G359" s="333"/>
      <c r="H359" s="310"/>
      <c r="I359" s="310"/>
      <c r="J359" s="340"/>
      <c r="K359" s="337"/>
      <c r="L359" s="338"/>
      <c r="M359" s="338"/>
      <c r="N359" s="339"/>
      <c r="O359" s="339"/>
      <c r="P359" s="339"/>
      <c r="Q359" s="25"/>
      <c r="R359" s="25"/>
      <c r="S359" s="25"/>
      <c r="T359" s="25"/>
      <c r="U359" s="25"/>
      <c r="AA359" s="273"/>
      <c r="AB359" s="273"/>
      <c r="AC359" s="273"/>
      <c r="AD359" s="276"/>
      <c r="AE359" s="273"/>
      <c r="AF359" s="73"/>
      <c r="AG359" s="73"/>
      <c r="AH359" s="73"/>
      <c r="AI359" s="73"/>
      <c r="AJ359" s="73"/>
      <c r="AK359" s="73"/>
    </row>
    <row r="360" spans="1:37" hidden="1">
      <c r="A360" s="399"/>
      <c r="B360" s="44"/>
      <c r="C360" s="44"/>
      <c r="D360" s="44"/>
      <c r="E360" s="44"/>
      <c r="F360" s="44"/>
      <c r="G360" s="44"/>
      <c r="H360" s="44"/>
      <c r="I360" s="44"/>
      <c r="J360" s="44"/>
      <c r="K360" s="337"/>
      <c r="L360" s="337"/>
      <c r="M360" s="337"/>
      <c r="N360" s="337"/>
      <c r="O360" s="337"/>
      <c r="P360" s="337"/>
      <c r="Q360" s="25"/>
      <c r="R360" s="25"/>
      <c r="S360" s="25"/>
      <c r="T360" s="25"/>
      <c r="U360" s="25"/>
      <c r="AA360" s="273"/>
      <c r="AB360" s="273" t="s">
        <v>1573</v>
      </c>
      <c r="AC360" s="273"/>
      <c r="AD360" s="273" t="e">
        <f>IF(AD146=MAX(AD146:AD358),"Dairy",IF(AD147=MAX(AD146:AD358),"Beef",IF(AD148=MAX(AD146:AD358),"Sheep",IF(AD149=MAX(AD146:AD358),"Pigs",IF(AD150=MAX(AD146:AD358),"Poultry_meat",IF(AD358=MAX(AD146:AD358),"Poultry_eggs"))))))</f>
        <v>#DIV/0!</v>
      </c>
      <c r="AE360" s="273"/>
      <c r="AF360" s="73"/>
      <c r="AG360" s="73"/>
      <c r="AH360" s="73"/>
      <c r="AI360" s="73"/>
      <c r="AJ360" s="73"/>
      <c r="AK360" s="73"/>
    </row>
    <row r="361" spans="1:37" ht="26.25" hidden="1">
      <c r="A361" s="400" t="s">
        <v>1486</v>
      </c>
      <c r="B361" s="299"/>
      <c r="C361" s="299" t="s">
        <v>1</v>
      </c>
      <c r="D361" s="299"/>
      <c r="E361" s="299"/>
      <c r="F361" s="306"/>
      <c r="G361" s="59"/>
      <c r="H361" s="305"/>
      <c r="I361" s="305" t="s">
        <v>1430</v>
      </c>
      <c r="J361" s="299"/>
      <c r="K361" s="55" t="s">
        <v>1730</v>
      </c>
      <c r="L361" s="4"/>
      <c r="M361" s="337"/>
      <c r="N361" s="337"/>
      <c r="O361" s="337"/>
      <c r="P361" s="337"/>
      <c r="Q361" s="25"/>
      <c r="R361" s="25"/>
      <c r="S361" s="25"/>
      <c r="T361" s="25"/>
      <c r="U361" s="25"/>
    </row>
    <row r="362" spans="1:37" hidden="1">
      <c r="A362" s="399"/>
      <c r="B362" s="44"/>
      <c r="C362" s="44"/>
      <c r="D362" s="44"/>
      <c r="E362" s="44"/>
      <c r="F362" s="44"/>
      <c r="G362" s="44"/>
      <c r="H362" s="44"/>
      <c r="I362" s="44"/>
      <c r="J362" s="44"/>
      <c r="K362" s="27"/>
      <c r="L362" s="27"/>
      <c r="M362" s="337"/>
      <c r="N362" s="337"/>
      <c r="O362" s="337"/>
      <c r="P362" s="337"/>
      <c r="Q362" s="25"/>
      <c r="R362" s="25"/>
      <c r="S362" s="25"/>
      <c r="T362" s="25"/>
      <c r="U362" s="25"/>
    </row>
    <row r="363" spans="1:37" hidden="1">
      <c r="A363" s="399"/>
      <c r="B363" s="44"/>
      <c r="C363" s="44"/>
      <c r="D363" s="44"/>
      <c r="E363" s="44"/>
      <c r="F363" s="44"/>
      <c r="G363" s="44"/>
      <c r="H363" s="44"/>
      <c r="I363" s="44"/>
      <c r="J363" s="44"/>
      <c r="K363" s="27"/>
      <c r="L363" s="27"/>
      <c r="M363" s="337"/>
      <c r="N363" s="337"/>
      <c r="O363" s="337"/>
      <c r="P363" s="337"/>
      <c r="Q363" s="25"/>
      <c r="R363" s="25"/>
      <c r="S363" s="25"/>
      <c r="T363" s="25"/>
      <c r="U363" s="25"/>
    </row>
    <row r="364" spans="1:37" customFormat="1" hidden="1">
      <c r="A364" s="399"/>
      <c r="B364" s="44"/>
      <c r="C364" s="44"/>
      <c r="D364" s="44"/>
      <c r="E364" s="44"/>
      <c r="F364" s="44"/>
      <c r="G364" s="44"/>
      <c r="H364" s="44"/>
      <c r="I364" s="341"/>
      <c r="J364" s="341"/>
      <c r="K364" s="865"/>
      <c r="L364" s="27"/>
      <c r="M364" s="337"/>
      <c r="N364" s="337"/>
      <c r="O364" s="337"/>
      <c r="P364" s="337"/>
    </row>
    <row r="365" spans="1:37" customFormat="1" hidden="1">
      <c r="A365" s="399" t="s">
        <v>1392</v>
      </c>
      <c r="B365" s="44">
        <f t="array" ref="B365">SUM(IF($D$35:$D$66="Yes",$B$35:$B$66))</f>
        <v>0</v>
      </c>
      <c r="C365" s="307" t="s">
        <v>39</v>
      </c>
      <c r="D365" s="307"/>
      <c r="E365" s="307"/>
      <c r="F365" s="307"/>
      <c r="G365" s="307"/>
      <c r="H365" s="44"/>
      <c r="I365" s="341">
        <f t="array" ref="I365">SUM(IF($D$35:$D$66="Yes",$M$35:$M$66))</f>
        <v>0</v>
      </c>
      <c r="J365" s="341" t="s">
        <v>1396</v>
      </c>
      <c r="K365" s="866" t="str">
        <f>IF(B365=0,"N/A",IF(B29=A411,SUM(B365:B366)*B411,IF(B29=A413,SUM(B365:B366)*B413,IF(B29=A412,SUM(B365:B366)*B412,IF(B29=A410,A410)))))</f>
        <v>N/A</v>
      </c>
      <c r="L365" s="27" t="s">
        <v>1396</v>
      </c>
      <c r="M365" s="337"/>
      <c r="N365" s="337"/>
      <c r="O365" s="337"/>
      <c r="P365" s="337"/>
    </row>
    <row r="366" spans="1:37" customFormat="1" ht="15" hidden="1" customHeight="1">
      <c r="A366" s="399" t="s">
        <v>1397</v>
      </c>
      <c r="B366" s="44">
        <f t="array" ref="B366">SUM(B156,B162)</f>
        <v>0</v>
      </c>
      <c r="C366" s="307" t="s">
        <v>39</v>
      </c>
      <c r="D366" s="307"/>
      <c r="E366" s="1047" t="s">
        <v>1404</v>
      </c>
      <c r="F366" s="1047"/>
      <c r="G366" s="44" t="str">
        <f>F153</f>
        <v>tonnes</v>
      </c>
      <c r="H366" s="44"/>
      <c r="I366" s="341">
        <f>SUM(M160:M166)</f>
        <v>0</v>
      </c>
      <c r="J366" s="341" t="s">
        <v>1405</v>
      </c>
      <c r="K366" s="866" t="str">
        <f>IF(B366=0,"N/A",(SUM(B156*N396,B162*N397))+(AVERAGE(N396:N397)*B365))</f>
        <v>N/A</v>
      </c>
      <c r="L366" s="33" t="s">
        <v>1405</v>
      </c>
      <c r="M366" s="337"/>
      <c r="N366" s="337"/>
      <c r="O366" s="337"/>
      <c r="P366" s="337"/>
    </row>
    <row r="367" spans="1:37" customFormat="1" hidden="1">
      <c r="A367" s="399"/>
      <c r="B367" s="44"/>
      <c r="C367" s="307"/>
      <c r="D367" s="307"/>
      <c r="E367" s="307"/>
      <c r="F367" s="44"/>
      <c r="G367" s="44"/>
      <c r="H367" s="44"/>
      <c r="I367" s="341"/>
      <c r="J367" s="341"/>
      <c r="K367" s="866"/>
      <c r="L367" s="27"/>
      <c r="M367" s="337"/>
      <c r="N367" s="337"/>
      <c r="O367" s="337"/>
      <c r="P367" s="337"/>
    </row>
    <row r="368" spans="1:37" customFormat="1" ht="15" hidden="1" customHeight="1">
      <c r="A368" s="399" t="s">
        <v>1624</v>
      </c>
      <c r="B368" s="44">
        <f t="array" ref="B368">SUM(IF($D$69:$D$75="Yes",$B$69:$B$75))</f>
        <v>0</v>
      </c>
      <c r="C368" s="307" t="s">
        <v>39</v>
      </c>
      <c r="D368" s="307"/>
      <c r="E368" s="1047"/>
      <c r="F368" s="1047"/>
      <c r="G368" s="44"/>
      <c r="H368" s="44"/>
      <c r="I368" s="341">
        <f t="array" ref="I368">SUM(IF($D$69:$D$75="Yes",$M$69:$M$75))</f>
        <v>0</v>
      </c>
      <c r="J368" s="341" t="s">
        <v>1396</v>
      </c>
      <c r="K368" s="866" t="str">
        <f>IF(B368=0,"N/A",IF(B30=A417,SUM(B368:B369)*B417,IF(B30=A416,SUM(B368:B369)*B416,IF(B30=A415,SUM(B368:B369)*B415))))</f>
        <v>N/A</v>
      </c>
      <c r="L368" s="27" t="s">
        <v>1396</v>
      </c>
      <c r="M368" s="337"/>
      <c r="N368" s="337"/>
      <c r="O368" s="337"/>
      <c r="P368" s="337"/>
    </row>
    <row r="369" spans="1:21" customFormat="1" hidden="1">
      <c r="A369" s="399" t="s">
        <v>1623</v>
      </c>
      <c r="B369" s="342">
        <f>SUM(B169,B175)</f>
        <v>0</v>
      </c>
      <c r="C369" s="307" t="s">
        <v>39</v>
      </c>
      <c r="D369" s="307"/>
      <c r="E369" s="307"/>
      <c r="F369" s="307"/>
      <c r="G369" s="44"/>
      <c r="H369" s="44"/>
      <c r="I369" s="341">
        <f>SUM(M173,M179)</f>
        <v>12700</v>
      </c>
      <c r="J369" s="341" t="s">
        <v>1405</v>
      </c>
      <c r="K369" s="867" t="str">
        <f>IF(B368=0,"N/A",((SUM(B169*N399,B175*N401)))+((AVERAGE(N399:N401)*B368)))</f>
        <v>N/A</v>
      </c>
      <c r="L369" s="33" t="s">
        <v>1405</v>
      </c>
      <c r="M369" s="337"/>
      <c r="N369" s="337"/>
      <c r="O369" s="337"/>
      <c r="P369" s="337"/>
    </row>
    <row r="370" spans="1:21" customFormat="1" ht="11.25" hidden="1" customHeight="1">
      <c r="A370" s="399"/>
      <c r="B370" s="44"/>
      <c r="C370" s="307"/>
      <c r="D370" s="307"/>
      <c r="E370" s="307"/>
      <c r="F370" s="44"/>
      <c r="G370" s="44"/>
      <c r="H370" s="44"/>
      <c r="I370" s="341"/>
      <c r="J370" s="341"/>
      <c r="K370" s="865"/>
      <c r="L370" s="27"/>
      <c r="M370" s="337"/>
      <c r="N370" s="337"/>
      <c r="O370" s="337"/>
      <c r="P370" s="337"/>
    </row>
    <row r="371" spans="1:21" customFormat="1" hidden="1">
      <c r="A371" s="399" t="s">
        <v>1393</v>
      </c>
      <c r="B371" s="342">
        <f t="array" ref="B371">SUM(IF($D$94:$D$108="Yes",$B$94:$B$108))</f>
        <v>0</v>
      </c>
      <c r="C371" s="307" t="s">
        <v>39</v>
      </c>
      <c r="D371" s="44"/>
      <c r="E371" s="1047"/>
      <c r="F371" s="1047"/>
      <c r="G371" s="44"/>
      <c r="H371" s="44"/>
      <c r="I371" s="341">
        <f t="array" ref="I371">SUM(IF($D$113:$D$149="Yes",$AK$113:$AK$149))</f>
        <v>0</v>
      </c>
      <c r="J371" s="341" t="s">
        <v>1396</v>
      </c>
      <c r="K371" s="866" t="str">
        <f>IF(B371=0,"N/A",Q426*SUM(B371:B372))</f>
        <v>N/A</v>
      </c>
      <c r="L371" s="27" t="s">
        <v>1396</v>
      </c>
      <c r="M371" s="337"/>
      <c r="N371" s="337"/>
      <c r="O371" s="337"/>
      <c r="P371" s="337"/>
    </row>
    <row r="372" spans="1:21" customFormat="1" ht="15" hidden="1" customHeight="1">
      <c r="A372" s="399" t="s">
        <v>1395</v>
      </c>
      <c r="B372" s="342">
        <f>SUM(B183,B189)</f>
        <v>0</v>
      </c>
      <c r="C372" s="307" t="s">
        <v>39</v>
      </c>
      <c r="D372" s="44"/>
      <c r="E372" s="1047"/>
      <c r="F372" s="1047"/>
      <c r="G372" s="44"/>
      <c r="H372" s="44"/>
      <c r="I372" s="341">
        <f>SUM(M187,M193)</f>
        <v>0</v>
      </c>
      <c r="J372" s="341" t="s">
        <v>1405</v>
      </c>
      <c r="K372" s="868" t="str">
        <f>IF(B372=0,"N/A",((SUM(B183*N403,B189*N404)))+(AVERAGE(N403:N404)*B371))</f>
        <v>N/A</v>
      </c>
      <c r="L372" s="33" t="s">
        <v>1405</v>
      </c>
      <c r="M372" s="337"/>
      <c r="N372" s="337"/>
      <c r="O372" s="337"/>
      <c r="P372" s="337"/>
    </row>
    <row r="373" spans="1:21" customFormat="1" hidden="1">
      <c r="A373" s="399"/>
      <c r="B373" s="44"/>
      <c r="C373" s="44"/>
      <c r="D373" s="44"/>
      <c r="E373" s="44"/>
      <c r="F373" s="44"/>
      <c r="G373" s="44"/>
      <c r="H373" s="44"/>
      <c r="I373" s="44"/>
      <c r="J373" s="44"/>
      <c r="K373" s="337"/>
      <c r="L373" s="337"/>
      <c r="M373" s="337"/>
      <c r="N373" s="337"/>
      <c r="O373" s="337"/>
      <c r="P373" s="337"/>
    </row>
    <row r="374" spans="1:21" customFormat="1" hidden="1">
      <c r="A374" s="399"/>
      <c r="B374" s="44"/>
      <c r="C374" s="44"/>
      <c r="D374" s="44"/>
      <c r="E374" s="44"/>
      <c r="F374" s="44"/>
      <c r="G374" s="44"/>
      <c r="H374" s="44" t="s">
        <v>1575</v>
      </c>
      <c r="I374" s="342" t="e">
        <f>+(SUM(I365,I368,I371)/SUM(K365,K368,K371))</f>
        <v>#DIV/0!</v>
      </c>
      <c r="J374" s="44"/>
      <c r="K374" s="337"/>
      <c r="L374" s="337"/>
      <c r="M374" s="337"/>
      <c r="N374" s="337"/>
      <c r="O374" s="337"/>
      <c r="P374" s="337"/>
    </row>
    <row r="375" spans="1:21" customFormat="1" hidden="1">
      <c r="A375" s="399" t="s">
        <v>1579</v>
      </c>
      <c r="B375" s="44">
        <f>SUM(B365:B372)</f>
        <v>0</v>
      </c>
      <c r="C375" s="44"/>
      <c r="D375" s="44"/>
      <c r="E375" s="44"/>
      <c r="F375" s="44"/>
      <c r="G375" s="44"/>
      <c r="H375" s="44" t="s">
        <v>1574</v>
      </c>
      <c r="I375" s="309" t="e">
        <f>(SUM(I366,I369,I372)/SUM(K366,K369,K372))</f>
        <v>#DIV/0!</v>
      </c>
      <c r="J375" s="44"/>
      <c r="K375" s="337"/>
      <c r="L375" s="337"/>
      <c r="M375" s="337"/>
      <c r="N375" s="337"/>
      <c r="O375" s="337"/>
      <c r="P375" s="337"/>
    </row>
    <row r="376" spans="1:21" customFormat="1" hidden="1">
      <c r="A376" s="401"/>
      <c r="B376" s="311"/>
      <c r="C376" s="311"/>
      <c r="D376" s="311"/>
      <c r="E376" s="311"/>
      <c r="F376" s="312"/>
      <c r="G376" s="343"/>
      <c r="H376" s="344" t="s">
        <v>1580</v>
      </c>
      <c r="I376" s="345" t="e">
        <f>SUM(I374:I375)</f>
        <v>#DIV/0!</v>
      </c>
      <c r="J376" s="315"/>
      <c r="K376" s="346"/>
      <c r="L376" s="315"/>
      <c r="M376" s="315"/>
      <c r="N376" s="347"/>
      <c r="O376" s="347"/>
      <c r="P376" s="347"/>
    </row>
    <row r="377" spans="1:21" hidden="1">
      <c r="A377" s="402"/>
      <c r="B377" s="313"/>
      <c r="C377" s="313"/>
      <c r="D377" s="313"/>
      <c r="E377" s="313"/>
      <c r="F377" s="314"/>
      <c r="G377" s="348"/>
      <c r="K377" s="324"/>
      <c r="L377" s="303"/>
      <c r="M377" s="303"/>
      <c r="N377" s="304"/>
      <c r="O377" s="304"/>
      <c r="P377" s="304"/>
      <c r="Q377" s="25"/>
      <c r="R377" s="25"/>
      <c r="S377" s="25"/>
      <c r="T377" s="25"/>
      <c r="U377" s="25"/>
    </row>
    <row r="378" spans="1:21" hidden="1">
      <c r="A378" s="402"/>
      <c r="B378" s="313"/>
      <c r="C378" s="313"/>
      <c r="D378" s="313"/>
      <c r="E378" s="313"/>
      <c r="F378" s="314"/>
      <c r="G378" s="348"/>
      <c r="H378" s="313"/>
      <c r="I378" s="313"/>
      <c r="K378" s="324"/>
      <c r="L378" s="303"/>
      <c r="M378" s="303"/>
      <c r="N378" s="304"/>
      <c r="O378" s="304"/>
      <c r="P378" s="304"/>
      <c r="Q378" s="25"/>
      <c r="R378" s="25"/>
      <c r="S378" s="25"/>
      <c r="T378" s="25"/>
      <c r="U378" s="25"/>
    </row>
    <row r="379" spans="1:21" hidden="1">
      <c r="A379" s="402"/>
      <c r="B379" s="313"/>
      <c r="C379" s="313"/>
      <c r="D379" s="313"/>
      <c r="E379" s="313"/>
      <c r="F379" s="314"/>
      <c r="K379" s="313"/>
      <c r="L379" s="313"/>
      <c r="M379" s="315"/>
      <c r="N379" s="303"/>
      <c r="O379" s="303"/>
      <c r="P379" s="324"/>
      <c r="Q379" s="25"/>
      <c r="R379" s="42"/>
      <c r="S379" s="42"/>
      <c r="T379" s="42"/>
      <c r="U379" s="25"/>
    </row>
    <row r="380" spans="1:21" hidden="1">
      <c r="A380" s="402"/>
      <c r="B380" s="313"/>
      <c r="C380" s="313"/>
      <c r="D380" s="313"/>
      <c r="E380" s="313"/>
      <c r="F380" s="314"/>
      <c r="K380" s="313"/>
      <c r="L380" s="313"/>
      <c r="M380" s="315"/>
      <c r="N380" s="303"/>
      <c r="O380" s="303"/>
      <c r="P380" s="324"/>
      <c r="Q380" s="25"/>
      <c r="R380" s="42"/>
      <c r="S380" s="42"/>
      <c r="T380" s="42"/>
      <c r="U380" s="25"/>
    </row>
    <row r="381" spans="1:21" hidden="1">
      <c r="A381" s="402"/>
      <c r="B381" s="313"/>
      <c r="C381" s="313"/>
      <c r="D381" s="313"/>
      <c r="E381" s="313"/>
      <c r="F381" s="314"/>
      <c r="K381" s="313"/>
      <c r="L381" s="313"/>
      <c r="M381" s="315"/>
      <c r="N381" s="303"/>
      <c r="O381" s="303"/>
      <c r="P381" s="324"/>
      <c r="Q381" s="25"/>
      <c r="R381" s="42"/>
      <c r="S381" s="42"/>
      <c r="T381" s="42"/>
      <c r="U381" s="25"/>
    </row>
    <row r="382" spans="1:21" hidden="1">
      <c r="K382" s="313"/>
      <c r="L382" s="313"/>
      <c r="M382" s="315"/>
      <c r="N382" s="303"/>
      <c r="O382" s="303"/>
      <c r="P382" s="349"/>
      <c r="Q382" s="41"/>
      <c r="R382" s="43"/>
      <c r="S382" s="43"/>
      <c r="T382" s="42"/>
      <c r="U382" s="25"/>
    </row>
    <row r="383" spans="1:21" hidden="1">
      <c r="K383" s="303"/>
      <c r="L383" s="303"/>
      <c r="M383" s="315"/>
      <c r="N383" s="303"/>
      <c r="O383" s="303"/>
      <c r="P383" s="324"/>
      <c r="Q383" s="25"/>
      <c r="R383" s="42"/>
      <c r="S383" s="42"/>
      <c r="T383" s="42"/>
      <c r="U383" s="25"/>
    </row>
    <row r="384" spans="1:21" hidden="1">
      <c r="A384" s="394" t="s">
        <v>1182</v>
      </c>
      <c r="K384" s="303"/>
      <c r="L384" s="303"/>
      <c r="M384" s="315"/>
      <c r="N384" s="303"/>
      <c r="O384" s="303"/>
      <c r="P384" s="324"/>
      <c r="Q384" s="25"/>
      <c r="R384" s="42"/>
      <c r="S384" s="42"/>
      <c r="T384" s="42"/>
      <c r="U384" s="25"/>
    </row>
    <row r="385" spans="1:21" hidden="1">
      <c r="A385" s="394" t="s">
        <v>1183</v>
      </c>
      <c r="K385" s="303"/>
      <c r="L385" s="303"/>
      <c r="M385" s="315"/>
      <c r="N385" s="303"/>
      <c r="O385" s="303"/>
      <c r="P385" s="324"/>
      <c r="Q385" s="25"/>
      <c r="R385" s="42"/>
      <c r="S385" s="42"/>
      <c r="T385" s="42"/>
      <c r="U385" s="25"/>
    </row>
    <row r="386" spans="1:21" hidden="1">
      <c r="A386" s="394" t="s">
        <v>1184</v>
      </c>
      <c r="K386" s="303"/>
      <c r="L386" s="303"/>
      <c r="M386" s="315"/>
      <c r="N386" s="303"/>
      <c r="O386" s="303"/>
      <c r="P386" s="324"/>
      <c r="Q386" s="25"/>
      <c r="R386" s="42"/>
      <c r="S386" s="42"/>
      <c r="T386" s="42"/>
      <c r="U386" s="25"/>
    </row>
    <row r="387" spans="1:21" hidden="1">
      <c r="A387" s="394" t="s">
        <v>1185</v>
      </c>
      <c r="K387" s="303"/>
      <c r="L387" s="303"/>
      <c r="M387" s="315"/>
      <c r="N387" s="303"/>
      <c r="O387" s="303"/>
      <c r="P387" s="324"/>
      <c r="Q387" s="25"/>
      <c r="R387" s="42"/>
      <c r="S387" s="42"/>
      <c r="T387" s="42"/>
      <c r="U387" s="25"/>
    </row>
    <row r="388" spans="1:21" hidden="1">
      <c r="A388" s="394" t="s">
        <v>1186</v>
      </c>
      <c r="K388" s="303"/>
      <c r="L388" s="303"/>
      <c r="M388" s="315"/>
      <c r="N388" s="303"/>
      <c r="O388" s="303"/>
      <c r="P388" s="324"/>
      <c r="Q388" s="25"/>
      <c r="R388" s="42"/>
      <c r="S388" s="42"/>
      <c r="T388" s="42"/>
      <c r="U388" s="25"/>
    </row>
    <row r="389" spans="1:21" hidden="1">
      <c r="K389" s="303"/>
      <c r="L389" s="303"/>
      <c r="M389" s="315"/>
      <c r="N389" s="303"/>
      <c r="O389" s="303"/>
      <c r="P389" s="324"/>
      <c r="Q389" s="25"/>
      <c r="R389" s="42"/>
      <c r="S389" s="42"/>
      <c r="T389" s="42"/>
      <c r="U389" s="25"/>
    </row>
    <row r="390" spans="1:21" hidden="1">
      <c r="K390" s="303"/>
      <c r="L390" s="303"/>
      <c r="M390" s="315"/>
      <c r="N390" s="303"/>
      <c r="O390" s="303"/>
      <c r="P390" s="324"/>
      <c r="Q390" s="25"/>
      <c r="R390" s="42"/>
      <c r="S390" s="42"/>
      <c r="T390" s="42"/>
      <c r="U390" s="25"/>
    </row>
    <row r="391" spans="1:21" hidden="1">
      <c r="A391" s="394" t="s">
        <v>600</v>
      </c>
      <c r="B391" s="303" t="s">
        <v>613</v>
      </c>
      <c r="K391" s="303" t="s">
        <v>1398</v>
      </c>
      <c r="L391" s="303"/>
      <c r="M391" s="350" t="s">
        <v>1417</v>
      </c>
      <c r="N391" s="351" t="str">
        <f>F153</f>
        <v>tonnes</v>
      </c>
      <c r="O391" s="303"/>
      <c r="P391" s="324"/>
      <c r="Q391" s="25"/>
      <c r="R391" s="42"/>
      <c r="S391" s="42"/>
      <c r="T391" s="42"/>
      <c r="U391" s="25"/>
    </row>
    <row r="392" spans="1:21" ht="17.25" hidden="1">
      <c r="B392" s="303" t="s">
        <v>614</v>
      </c>
      <c r="K392" s="303" t="s">
        <v>1400</v>
      </c>
      <c r="L392" s="303"/>
      <c r="M392" s="315"/>
      <c r="N392" s="303"/>
      <c r="O392" s="303"/>
      <c r="P392" s="324"/>
      <c r="Q392" s="25"/>
      <c r="R392" s="42"/>
      <c r="S392" s="42"/>
      <c r="T392" s="42"/>
      <c r="U392" s="25"/>
    </row>
    <row r="393" spans="1:21" hidden="1">
      <c r="B393" s="303" t="s">
        <v>616</v>
      </c>
      <c r="K393" s="303"/>
      <c r="L393" s="303"/>
      <c r="M393" s="315"/>
      <c r="N393" s="303"/>
      <c r="O393" s="303"/>
      <c r="P393" s="324"/>
      <c r="Q393" s="25"/>
      <c r="R393" s="42"/>
      <c r="S393" s="42"/>
      <c r="T393" s="42"/>
      <c r="U393" s="25"/>
    </row>
    <row r="394" spans="1:21" hidden="1">
      <c r="B394" s="303" t="s">
        <v>615</v>
      </c>
      <c r="K394" s="352" t="s">
        <v>1406</v>
      </c>
      <c r="L394" s="303"/>
      <c r="M394" s="315"/>
      <c r="N394" s="352" t="s">
        <v>1410</v>
      </c>
      <c r="O394" s="303"/>
      <c r="P394" s="324"/>
      <c r="Q394" s="25"/>
      <c r="R394" s="42"/>
      <c r="S394" s="42"/>
      <c r="T394" s="42"/>
      <c r="U394" s="42"/>
    </row>
    <row r="395" spans="1:21" hidden="1">
      <c r="B395" s="303" t="s">
        <v>617</v>
      </c>
      <c r="K395" s="303"/>
      <c r="L395" s="303"/>
      <c r="M395" s="315"/>
      <c r="N395" s="303"/>
      <c r="O395" s="303"/>
      <c r="P395" s="324"/>
      <c r="Q395" s="25"/>
      <c r="R395" s="42"/>
      <c r="S395" s="42"/>
      <c r="T395" s="42"/>
      <c r="U395" s="42"/>
    </row>
    <row r="396" spans="1:21" hidden="1">
      <c r="B396" s="303" t="s">
        <v>618</v>
      </c>
      <c r="K396" s="303" t="s">
        <v>1407</v>
      </c>
      <c r="L396" s="332">
        <f>IF($F$153=$K$392,15,(15/1.84))</f>
        <v>8.1521739130434785</v>
      </c>
      <c r="M396" s="315"/>
      <c r="N396" s="353">
        <f>IF(B158=$K$396,$L$396,IF(B158=$K$397,$L$397,$L$398))*$K$160</f>
        <v>41413.043478260865</v>
      </c>
      <c r="O396" s="303" t="s">
        <v>1411</v>
      </c>
      <c r="P396" s="324"/>
      <c r="Q396" s="25"/>
      <c r="R396" s="42"/>
      <c r="S396" s="42"/>
      <c r="T396" s="42"/>
      <c r="U396" s="42"/>
    </row>
    <row r="397" spans="1:21" hidden="1">
      <c r="K397" s="303" t="s">
        <v>1408</v>
      </c>
      <c r="L397" s="332">
        <f>IF($F$153=$K$392,6,(6/1.84))</f>
        <v>3.2608695652173911</v>
      </c>
      <c r="M397" s="315"/>
      <c r="N397" s="353">
        <f>IF(B164=$K$396,$L$396,IF(B164=$K$397,$L$397,$L$398))*$K$160</f>
        <v>41413.043478260865</v>
      </c>
      <c r="O397" s="303" t="s">
        <v>1412</v>
      </c>
      <c r="P397" s="324"/>
      <c r="Q397" s="25"/>
      <c r="R397" s="42"/>
      <c r="S397" s="42"/>
      <c r="T397" s="42"/>
      <c r="U397" s="42"/>
    </row>
    <row r="398" spans="1:21" hidden="1">
      <c r="A398" s="394" t="s">
        <v>1144</v>
      </c>
      <c r="B398" s="303" t="s">
        <v>36</v>
      </c>
      <c r="K398" s="303" t="s">
        <v>668</v>
      </c>
      <c r="L398" s="332">
        <f>AVERAGE(L396:L397)</f>
        <v>5.7065217391304346</v>
      </c>
      <c r="M398" s="315"/>
      <c r="N398" s="353"/>
      <c r="O398" s="303"/>
      <c r="P398" s="324"/>
      <c r="Q398" s="25"/>
      <c r="R398" s="42"/>
      <c r="S398" s="42"/>
      <c r="T398" s="42"/>
      <c r="U398" s="42"/>
    </row>
    <row r="399" spans="1:21" hidden="1">
      <c r="B399" s="303" t="s">
        <v>37</v>
      </c>
      <c r="K399" s="303"/>
      <c r="L399" s="303"/>
      <c r="M399" s="315"/>
      <c r="N399" s="353">
        <f>IF(B171=$K$396,$L$396,IF(B171=$K$397,$L$397,$L$398))*$K$160</f>
        <v>41413.043478260865</v>
      </c>
      <c r="O399" s="303" t="s">
        <v>1413</v>
      </c>
      <c r="P399" s="324"/>
      <c r="Q399" s="25"/>
      <c r="R399" s="42"/>
      <c r="S399" s="42"/>
      <c r="T399" s="42"/>
      <c r="U399" s="42"/>
    </row>
    <row r="400" spans="1:21" hidden="1">
      <c r="K400" s="303"/>
      <c r="L400" s="303"/>
      <c r="M400" s="315"/>
      <c r="N400" s="353"/>
      <c r="O400" s="303"/>
      <c r="P400" s="324"/>
      <c r="Q400" s="25"/>
      <c r="R400" s="42"/>
      <c r="S400" s="42"/>
      <c r="T400" s="42"/>
      <c r="U400" s="42"/>
    </row>
    <row r="401" spans="1:21" hidden="1">
      <c r="A401" s="394" t="s">
        <v>1274</v>
      </c>
      <c r="K401" s="303"/>
      <c r="L401" s="303"/>
      <c r="M401" s="315"/>
      <c r="N401" s="353">
        <f>IF(B177=$K$396,$L$396,IF(B177=$K$397,$L$397,$L$398))*$K$160</f>
        <v>41413.043478260865</v>
      </c>
      <c r="O401" s="303" t="s">
        <v>1414</v>
      </c>
      <c r="P401" s="324"/>
      <c r="Q401" s="25"/>
      <c r="R401" s="42"/>
      <c r="S401" s="42"/>
      <c r="T401" s="42"/>
      <c r="U401" s="42"/>
    </row>
    <row r="402" spans="1:21" hidden="1">
      <c r="B402" s="531" t="s">
        <v>29</v>
      </c>
      <c r="K402" s="303"/>
      <c r="L402" s="303"/>
      <c r="M402" s="315"/>
      <c r="N402" s="353"/>
      <c r="O402" s="303"/>
      <c r="P402" s="324"/>
      <c r="Q402" s="25"/>
      <c r="R402" s="42"/>
      <c r="S402" s="42"/>
      <c r="T402" s="42"/>
      <c r="U402" s="42"/>
    </row>
    <row r="403" spans="1:21" hidden="1">
      <c r="B403" s="531" t="s">
        <v>1543</v>
      </c>
      <c r="K403" s="303"/>
      <c r="L403" s="303"/>
      <c r="M403" s="315"/>
      <c r="N403" s="353">
        <f>IF(B185=$K$396,$L$396,IF(B185=$K$397,$L$397,$L$398))*$K$160</f>
        <v>41413.043478260865</v>
      </c>
      <c r="O403" s="303" t="s">
        <v>1415</v>
      </c>
      <c r="P403" s="324"/>
      <c r="Q403" s="25"/>
      <c r="R403" s="42"/>
      <c r="S403" s="42"/>
      <c r="T403" s="42"/>
      <c r="U403" s="42"/>
    </row>
    <row r="404" spans="1:21" hidden="1">
      <c r="B404" s="531" t="s">
        <v>1544</v>
      </c>
      <c r="K404" s="303"/>
      <c r="L404" s="303"/>
      <c r="M404" s="315"/>
      <c r="N404" s="353">
        <f>IF(B191=$K$396,$L$396,IF(B191=$K$397,$L$397,$L$398))*$K$160</f>
        <v>41413.043478260865</v>
      </c>
      <c r="O404" s="303" t="s">
        <v>1416</v>
      </c>
      <c r="P404" s="324"/>
      <c r="Q404" s="25"/>
      <c r="R404" s="42"/>
      <c r="S404" s="42"/>
      <c r="T404" s="42"/>
      <c r="U404" s="42"/>
    </row>
    <row r="405" spans="1:21" hidden="1">
      <c r="K405" s="303"/>
      <c r="L405" s="303"/>
      <c r="M405" s="315"/>
      <c r="N405" s="303"/>
      <c r="O405" s="303"/>
      <c r="P405" s="324"/>
      <c r="Q405" s="25"/>
      <c r="R405" s="42"/>
      <c r="S405" s="42"/>
      <c r="T405" s="42"/>
      <c r="U405" s="25"/>
    </row>
    <row r="406" spans="1:21" hidden="1">
      <c r="K406" s="303"/>
      <c r="L406" s="303"/>
      <c r="M406" s="315"/>
      <c r="N406" s="303"/>
      <c r="O406" s="303"/>
      <c r="P406" s="324"/>
      <c r="Q406" s="25"/>
      <c r="R406" s="42"/>
      <c r="S406" s="42"/>
      <c r="T406" s="42"/>
      <c r="U406" s="25"/>
    </row>
    <row r="407" spans="1:21" hidden="1">
      <c r="A407" s="394" t="s">
        <v>36</v>
      </c>
      <c r="K407" s="303"/>
      <c r="L407" s="303"/>
      <c r="M407" s="315"/>
      <c r="N407" s="303"/>
      <c r="O407" s="303"/>
      <c r="P407" s="324"/>
      <c r="Q407" s="25"/>
      <c r="R407" s="42"/>
      <c r="S407" s="42"/>
      <c r="T407" s="42"/>
      <c r="U407" s="25"/>
    </row>
    <row r="408" spans="1:21" hidden="1">
      <c r="A408" s="394" t="s">
        <v>37</v>
      </c>
      <c r="K408" s="303"/>
      <c r="L408" s="303"/>
      <c r="M408" s="315"/>
      <c r="N408" s="303"/>
      <c r="O408" s="303"/>
      <c r="P408" s="324"/>
      <c r="Q408" s="25"/>
      <c r="R408" s="42"/>
      <c r="S408" s="42"/>
      <c r="T408" s="42"/>
      <c r="U408" s="25"/>
    </row>
    <row r="409" spans="1:21" hidden="1">
      <c r="B409" s="352" t="s">
        <v>1578</v>
      </c>
      <c r="K409" s="247" t="s">
        <v>1621</v>
      </c>
      <c r="L409" s="248" t="s">
        <v>1424</v>
      </c>
      <c r="M409" s="248" t="s">
        <v>1216</v>
      </c>
      <c r="N409" s="248" t="s">
        <v>147</v>
      </c>
      <c r="O409" s="248" t="s">
        <v>27</v>
      </c>
      <c r="P409" s="248" t="s">
        <v>858</v>
      </c>
      <c r="Q409" s="25"/>
      <c r="R409" s="42"/>
    </row>
    <row r="410" spans="1:21" hidden="1">
      <c r="A410" s="403" t="s">
        <v>72</v>
      </c>
      <c r="K410" s="354" t="str">
        <f>B25</f>
        <v>United Kingdom</v>
      </c>
      <c r="L410" s="355">
        <f>IF($K$410=$A$426,B426,IF($K$410=$A$427,B427,IF($K$410=$A$428,B428,IF($K$410=$A$429,B429,IF($K$410=$A$430,B430,IF($K$410=$A$431,B431,IF($K$410=$A$432,B432,IF($K$410=$A$433,B433,IF($K$410=$A$434,B434,IF($K$410=$A$435,B435,IF($K$410=$A$436,B436,IF($K$410=$A$437,B437,IF($K$410=$A$438,B438,IF($K$410=$A$439,B439,IF($K$410=$A$440,B440,IF($K$410=$A$441,B441,IF($K$410=$A$442,B442,IF($K$410=$A$443,B443,IF($K$410=$A$444,B444,IF($K$410=$A$445,B445,IF($K$410=$A$446,B446,IF($K$410=$A$447,B447,IF($K$410=$A$448,B448,IF($K$410=$A$449,B449,IF($K$410=$A$450,B450,IF($K$410=$A$451,B451,IF($K$410=$A$452,B452,IF($K$410=$A$453,B453,IF($K$410=$A$454,B454,IF($K$410=$A$455,B455))))))))))))))))))))))))))))))/100</f>
        <v>1.8843846556926801E-2</v>
      </c>
      <c r="M410" s="355">
        <f>IF($K$410=$A$426,C426,IF($K$410=$A$427,C427,IF($K$410=$A$428,C428,IF($K$410=$A$429,C429,IF($K$410=$A$430,C430,IF($K$410=$A$431,C431,IF($K$410=$A$432,C432,IF($K$410=$A$433,C433,IF($K$410=$A$434,C434,IF($K$410=$A$435,C435,IF($K$410=$A$436,C436,IF($K$410=$A$437,C437,IF($K$410=$A$438,C438,IF($K$410=$A$439,C439,IF($K$410=$A$440,C440,IF($K$410=$A$441,C441,IF($K$410=$A$442,C442,IF($K$410=$A$443,C443,IF($K$410=$A$444,C444,IF($K$410=$A$445,C445,IF($K$410=$A$446,C446,IF($K$410=$A$447,C447,IF($K$410=$A$448,C448,IF($K$410=$A$449,C449,IF($K$410=$A$450,C450,IF($K$410=$A$451,C451,IF($K$410=$A$452,C452,IF($K$410=$A$453,C453,IF($K$410=$A$454,C454,IF($K$410=$A$455,C455))))))))))))))))))))))))))))))/100</f>
        <v>0.51983539020291636</v>
      </c>
      <c r="N410" s="355">
        <f>IF($K$410=$A$426,D426,IF($K$410=$A$427,D427,IF($K$410=$A$428,D428,IF($K$410=$A$429,D429,IF($K$410=$A$430,D430,IF($K$410=$A$431,D431,IF($K$410=$A$432,D432,IF($K$410=$A$433,D433,IF($K$410=$A$434,D434,IF($K$410=$A$435,D435,IF($K$410=$A$436,D436,IF($K$410=$A$437,D437,IF($K$410=$A$438,D438,IF($K$410=$A$439,D439,IF($K$410=$A$440,D440,IF($K$410=$A$441,D441,IF($K$410=$A$442,D442,IF($K$410=$A$443,D443,IF($K$410=$A$444,D444,IF($K$410=$A$445,D445,IF($K$410=$A$446,D446,IF($K$410=$A$447,D447,IF($K$410=$A$448,D448,IF($K$410=$A$449,D449,IF($K$410=$A$450,D450,IF($K$410=$A$451,D451,IF($K$410=$A$452,D452,IF($K$410=$A$453,D453,IF($K$410=$A$454,D454,IF($K$410=$A$455,D455))))))))))))))))))))))))))))))/100</f>
        <v>8.8977678598317164E-2</v>
      </c>
      <c r="O410" s="355">
        <f>IF($K$410=$A$426,E426,IF($K$410=$A$427,E427,IF($K$410=$A$428,E428,IF($K$410=$A$429,E429,IF($K$410=$A$430,E430,IF($K$410=$A$431,E431,IF($K$410=$A$432,E432,IF($K$410=$A$433,E433,IF($K$410=$A$434,E434,IF($K$410=$A$435,E435,IF($K$410=$A$436,E436,IF($K$410=$A$437,E437,IF($K$410=$A$438,E438,IF($K$410=$A$439,E439,IF($K$410=$A$440,E440,IF($K$410=$A$441,E441,IF($K$410=$A$442,E442,IF($K$410=$A$443,E443,IF($K$410=$A$444,E444,IF($K$410=$A$445,E445,IF($K$410=$A$446,E446,IF($K$410=$A$447,E447,IF($K$410=$A$448,E448,IF($K$410=$A$449,E449,IF($K$410=$A$450,E450,IF($K$410=$A$451,E451,IF($K$410=$A$452,E452,IF($K$410=$A$453,E453,IF($K$410=$A$454,E454,IF($K$410=$A$455,E455))))))))))))))))))))))))))))))/100</f>
        <v>0.24357265899330841</v>
      </c>
      <c r="P410" s="355">
        <f>IF($K$410=$A$426,F426,IF($K$410=$A$427,F427,IF($K$410=$A$428,F428,IF($K$410=$A$429,F429,IF($K$410=$A$430,F430,IF($K$410=$A$431,F431,IF($K$410=$A$432,F432,IF($K$410=$A$433,F433,IF($K$410=$A$434,F434,IF($K$410=$A$435,F435,IF($K$410=$A$436,F436,IF($K$410=$A$437,F437,IF($K$410=$A$438,F438,IF($K$410=$A$439,F439,IF($K$410=$A$440,F440,IF($K$410=$A$441,F441,IF($K$410=$A$442,F442,IF($K$410=$A$443,F443,IF($K$410=$A$444,F444,IF($K$410=$A$445,F445,IF($K$410=$A$446,F446,IF($K$410=$A$447,F447,IF($K$410=$A$448,F448,IF($K$410=$A$449,F449,IF($K$410=$A$450,F450,IF($K$410=$A$451,F451,IF($K$410=$A$452,F452,IF($K$410=$A$453,F453,IF($K$410=$A$454,F454,IF($K$410=$A$455,F455))))))))))))))))))))))))))))))/100</f>
        <v>7.1674225587096225E-4</v>
      </c>
      <c r="Q410" s="42"/>
      <c r="R410" s="292"/>
    </row>
    <row r="411" spans="1:21" hidden="1">
      <c r="A411" s="403" t="s">
        <v>691</v>
      </c>
      <c r="B411" s="353">
        <f>Avg_yields_EU28!B14*AVERAGE(K35:K41)</f>
        <v>59542.156264555546</v>
      </c>
      <c r="K411" s="303"/>
      <c r="L411" s="303"/>
      <c r="M411" s="315"/>
      <c r="N411" s="303"/>
      <c r="O411" s="303"/>
      <c r="P411" s="324"/>
      <c r="Q411" s="25"/>
      <c r="R411" s="42"/>
    </row>
    <row r="412" spans="1:21" hidden="1">
      <c r="A412" s="403" t="s">
        <v>154</v>
      </c>
      <c r="B412" s="353">
        <f>AVERAGE(Avg_yields_EU28!B8,Avg_yields_EU28!B11,Avg_yields_EU28!B12,Avg_yields_EU28!B13)*K46</f>
        <v>92229.226007497535</v>
      </c>
      <c r="K412" s="303"/>
      <c r="L412" s="303"/>
      <c r="M412" s="315"/>
      <c r="N412" s="303"/>
      <c r="O412" s="303"/>
      <c r="P412" s="324"/>
      <c r="Q412" s="25"/>
      <c r="R412" s="42"/>
    </row>
    <row r="413" spans="1:21" hidden="1">
      <c r="A413" s="403" t="s">
        <v>1553</v>
      </c>
      <c r="B413" s="353">
        <f>Avg_yields_EU28!B10*K47</f>
        <v>25507.672576205969</v>
      </c>
      <c r="K413" s="304" t="e">
        <f>SUM(AB113:AB144)/SUM(B238,B239)</f>
        <v>#DIV/0!</v>
      </c>
      <c r="L413" s="356" t="e">
        <f>$L$410*K413</f>
        <v>#DIV/0!</v>
      </c>
      <c r="M413" s="356" t="e">
        <f>$M$410*K413</f>
        <v>#DIV/0!</v>
      </c>
      <c r="N413" s="356" t="e">
        <f>$N$410*K413</f>
        <v>#DIV/0!</v>
      </c>
      <c r="O413" s="356" t="e">
        <f>$O$410*K413</f>
        <v>#DIV/0!</v>
      </c>
      <c r="P413" s="356" t="e">
        <f>$P$410*K413</f>
        <v>#DIV/0!</v>
      </c>
      <c r="Q413" s="25"/>
      <c r="R413" s="42"/>
    </row>
    <row r="414" spans="1:21" hidden="1">
      <c r="A414" s="403" t="s">
        <v>72</v>
      </c>
      <c r="B414" s="353"/>
      <c r="K414" s="303"/>
      <c r="L414" s="303"/>
      <c r="M414" s="315"/>
      <c r="N414" s="303"/>
      <c r="O414" s="303"/>
      <c r="P414" s="324"/>
      <c r="Q414" s="25"/>
      <c r="R414" s="42"/>
    </row>
    <row r="415" spans="1:21" hidden="1">
      <c r="A415" s="403" t="s">
        <v>1554</v>
      </c>
      <c r="B415" s="353">
        <f>AVERAGE(Avg_yields_EU28!D17:D18)*K69</f>
        <v>71267.5</v>
      </c>
      <c r="K415" s="303"/>
      <c r="L415" s="304"/>
      <c r="M415" s="347"/>
      <c r="N415" s="304"/>
      <c r="O415" s="304"/>
      <c r="P415" s="304"/>
      <c r="Q415" s="25"/>
      <c r="R415" s="42"/>
      <c r="S415" s="42"/>
      <c r="T415" s="42"/>
      <c r="U415" s="25"/>
    </row>
    <row r="416" spans="1:21" hidden="1">
      <c r="A416" s="403" t="s">
        <v>500</v>
      </c>
      <c r="B416" s="353">
        <f>Avg_yields_EU28!D19*K71</f>
        <v>36967.5</v>
      </c>
      <c r="K416" s="303"/>
      <c r="L416" s="304"/>
      <c r="M416" s="347"/>
      <c r="N416" s="304"/>
      <c r="O416" s="304"/>
      <c r="P416" s="304"/>
      <c r="Q416" s="25"/>
      <c r="R416" s="42"/>
      <c r="S416" s="42"/>
      <c r="T416" s="42"/>
      <c r="U416" s="25"/>
    </row>
    <row r="417" spans="1:21" hidden="1">
      <c r="A417" s="403" t="s">
        <v>1383</v>
      </c>
      <c r="B417" s="353">
        <f>2.795*K74</f>
        <v>18726.5</v>
      </c>
      <c r="K417" s="303"/>
      <c r="L417" s="304"/>
      <c r="M417" s="347"/>
      <c r="N417" s="304"/>
      <c r="O417" s="304"/>
      <c r="P417" s="304"/>
      <c r="Q417" s="25"/>
      <c r="R417" s="42"/>
      <c r="S417" s="42"/>
      <c r="T417" s="42"/>
      <c r="U417" s="25"/>
    </row>
    <row r="418" spans="1:21" hidden="1">
      <c r="F418" s="315"/>
      <c r="K418" s="303"/>
      <c r="L418" s="303"/>
      <c r="M418" s="315"/>
      <c r="N418" s="303"/>
      <c r="O418" s="303"/>
      <c r="P418" s="324"/>
      <c r="Q418" s="25"/>
      <c r="R418" s="42"/>
      <c r="S418" s="42"/>
      <c r="T418" s="42"/>
      <c r="U418" s="25"/>
    </row>
    <row r="419" spans="1:21" ht="60" hidden="1">
      <c r="K419" s="357" t="s">
        <v>1425</v>
      </c>
      <c r="L419" s="358">
        <v>3.79</v>
      </c>
      <c r="M419" s="359">
        <v>3.79</v>
      </c>
      <c r="N419" s="358">
        <v>1.1000000000000001</v>
      </c>
      <c r="O419" s="358">
        <v>1.33</v>
      </c>
      <c r="P419" s="358">
        <v>1.33</v>
      </c>
      <c r="Q419" s="25"/>
      <c r="R419" s="42"/>
      <c r="S419" s="42"/>
      <c r="T419" s="42"/>
      <c r="U419" s="25"/>
    </row>
    <row r="420" spans="1:21" hidden="1">
      <c r="K420" s="303"/>
      <c r="L420" s="303"/>
      <c r="M420" s="315"/>
      <c r="N420" s="303"/>
      <c r="O420" s="303"/>
      <c r="P420" s="324"/>
      <c r="Q420" s="25"/>
      <c r="R420" s="42"/>
      <c r="S420" s="42"/>
      <c r="T420" s="42"/>
      <c r="U420" s="25"/>
    </row>
    <row r="421" spans="1:21" hidden="1">
      <c r="K421" s="357" t="s">
        <v>1426</v>
      </c>
      <c r="L421" s="356" t="e">
        <f>L413/L419</f>
        <v>#DIV/0!</v>
      </c>
      <c r="M421" s="304" t="e">
        <f>M413/M419</f>
        <v>#DIV/0!</v>
      </c>
      <c r="N421" s="304" t="e">
        <f>N413/N419</f>
        <v>#DIV/0!</v>
      </c>
      <c r="O421" s="304" t="e">
        <f>O413/O419</f>
        <v>#DIV/0!</v>
      </c>
      <c r="P421" s="304" t="e">
        <f>P413/P419</f>
        <v>#DIV/0!</v>
      </c>
      <c r="Q421" s="25"/>
      <c r="R421" s="42"/>
      <c r="S421" s="42"/>
      <c r="T421" s="42"/>
      <c r="U421" s="25"/>
    </row>
    <row r="422" spans="1:21" ht="30" hidden="1">
      <c r="K422" s="357" t="s">
        <v>1561</v>
      </c>
      <c r="L422" s="360" t="e">
        <f>L413-L421</f>
        <v>#DIV/0!</v>
      </c>
      <c r="M422" s="304" t="e">
        <f>M413-M421</f>
        <v>#DIV/0!</v>
      </c>
      <c r="N422" s="304" t="e">
        <f>N413-N421</f>
        <v>#DIV/0!</v>
      </c>
      <c r="O422" s="304" t="e">
        <f>O413-O421</f>
        <v>#DIV/0!</v>
      </c>
      <c r="P422" s="304" t="e">
        <f>P413-P421</f>
        <v>#DIV/0!</v>
      </c>
      <c r="Q422" s="278" t="s">
        <v>1577</v>
      </c>
      <c r="R422" s="42"/>
      <c r="S422" s="249"/>
      <c r="T422" s="249"/>
      <c r="U422" s="249"/>
    </row>
    <row r="423" spans="1:21" hidden="1">
      <c r="K423" s="352" t="s">
        <v>1427</v>
      </c>
      <c r="L423" s="304" t="e">
        <f>L422/AA143</f>
        <v>#DIV/0!</v>
      </c>
      <c r="M423" s="347" t="e">
        <f>M422/AVERAGE(AA113,AA120)</f>
        <v>#DIV/0!</v>
      </c>
      <c r="N423" s="304" t="e">
        <f>N422/AA130</f>
        <v>#DIV/0!</v>
      </c>
      <c r="O423" s="304" t="e">
        <f>O422/AA126</f>
        <v>#DIV/0!</v>
      </c>
      <c r="P423" s="304" t="e">
        <f>P422/AA126</f>
        <v>#DIV/0!</v>
      </c>
      <c r="Q423" s="25"/>
      <c r="R423" s="42"/>
      <c r="S423" s="42"/>
      <c r="T423" s="42"/>
      <c r="U423" s="25"/>
    </row>
    <row r="424" spans="1:21" ht="15.75" hidden="1" thickBot="1">
      <c r="K424" s="352" t="s">
        <v>1429</v>
      </c>
      <c r="L424" s="360" t="e">
        <f>L423*AH143</f>
        <v>#DIV/0!</v>
      </c>
      <c r="M424" s="361" t="e">
        <f>M423*AVERAGE(AH120,AH113)</f>
        <v>#DIV/0!</v>
      </c>
      <c r="N424" s="362" t="e">
        <f>N423*AH134</f>
        <v>#DIV/0!</v>
      </c>
      <c r="O424" s="362" t="e">
        <f>O423*AH127</f>
        <v>#DIV/0!</v>
      </c>
      <c r="P424" s="362" t="e">
        <f>P423*AH144</f>
        <v>#DIV/0!</v>
      </c>
      <c r="Q424" s="42"/>
      <c r="R424" s="42"/>
      <c r="S424" s="42"/>
      <c r="T424" s="42"/>
      <c r="U424" s="25"/>
    </row>
    <row r="425" spans="1:21" ht="39.75" hidden="1" customHeight="1">
      <c r="A425" s="404" t="s">
        <v>1612</v>
      </c>
      <c r="B425" s="290" t="s">
        <v>1424</v>
      </c>
      <c r="C425" s="290" t="s">
        <v>1216</v>
      </c>
      <c r="D425" s="290" t="s">
        <v>147</v>
      </c>
      <c r="E425" s="290" t="s">
        <v>27</v>
      </c>
      <c r="F425" s="290" t="s">
        <v>858</v>
      </c>
      <c r="G425" s="290" t="s">
        <v>140</v>
      </c>
      <c r="H425" s="291" t="s">
        <v>1620</v>
      </c>
      <c r="K425" s="352" t="s">
        <v>1428</v>
      </c>
      <c r="L425" s="362" t="e">
        <f>L424*$L$431</f>
        <v>#DIV/0!</v>
      </c>
      <c r="M425" s="362" t="e">
        <f>((M424*$A$460)*$L$431)+(((M424*$A$461*6.692)))</f>
        <v>#DIV/0!</v>
      </c>
      <c r="N425" s="362" t="e">
        <f>N424*L433</f>
        <v>#DIV/0!</v>
      </c>
      <c r="O425" s="362" t="e">
        <f>O424*L432</f>
        <v>#DIV/0!</v>
      </c>
      <c r="P425" s="362" t="e">
        <f>P424*L432</f>
        <v>#DIV/0!</v>
      </c>
      <c r="Q425" s="42" t="e">
        <f>SUM(L425:P425)</f>
        <v>#DIV/0!</v>
      </c>
      <c r="R425" s="42"/>
      <c r="S425" s="42"/>
      <c r="T425" s="42"/>
      <c r="U425" s="25"/>
    </row>
    <row r="426" spans="1:21" ht="14.25" hidden="1" customHeight="1">
      <c r="A426" s="405" t="s">
        <v>1582</v>
      </c>
      <c r="B426" s="316">
        <v>2.2672309552599756</v>
      </c>
      <c r="C426" s="316">
        <v>84.038694074969769</v>
      </c>
      <c r="D426" s="316">
        <v>11.928657799274486</v>
      </c>
      <c r="E426" s="316">
        <v>0.51995163240628772</v>
      </c>
      <c r="F426" s="316">
        <v>0.27206771463119711</v>
      </c>
      <c r="G426" s="316">
        <v>0.96735187424425628</v>
      </c>
      <c r="H426" s="363">
        <f>VLOOKUP(A426,LU,6)</f>
        <v>1.2622100122100122</v>
      </c>
      <c r="K426" s="352" t="s">
        <v>1576</v>
      </c>
      <c r="L426" s="364" t="e">
        <f>L424*K113</f>
        <v>#DIV/0!</v>
      </c>
      <c r="M426" s="364" t="e">
        <f>((M424*$A$460)*K113)+(((M424*$A$461*6.692*K148)))</f>
        <v>#DIV/0!</v>
      </c>
      <c r="N426" s="332" t="e">
        <f>N424*K133</f>
        <v>#DIV/0!</v>
      </c>
      <c r="O426" s="332" t="e">
        <f>O424*K126</f>
        <v>#DIV/0!</v>
      </c>
      <c r="P426" s="332" t="e">
        <f>P424*K144</f>
        <v>#DIV/0!</v>
      </c>
      <c r="Q426" s="58" t="e">
        <f>SUM(L426:P426)</f>
        <v>#DIV/0!</v>
      </c>
      <c r="R426" s="42"/>
      <c r="S426" s="42"/>
      <c r="T426" s="42"/>
      <c r="U426" s="25"/>
    </row>
    <row r="427" spans="1:21" hidden="1">
      <c r="A427" s="405" t="s">
        <v>1583</v>
      </c>
      <c r="B427" s="316">
        <v>1.4131373369132589</v>
      </c>
      <c r="C427" s="316">
        <v>82.169576480429598</v>
      </c>
      <c r="D427" s="316">
        <v>6.3878732274646843</v>
      </c>
      <c r="E427" s="316">
        <v>8.3351322908374605</v>
      </c>
      <c r="F427" s="316">
        <v>1.7202531133208306E-2</v>
      </c>
      <c r="G427" s="316">
        <v>1.6770781332217981</v>
      </c>
      <c r="H427" s="363">
        <f t="shared" ref="H427:H455" si="23">VLOOKUP(A427,LU,6,FALSE)</f>
        <v>1.1955680569417979</v>
      </c>
      <c r="K427" s="303"/>
      <c r="L427" s="303"/>
      <c r="M427" s="315"/>
      <c r="N427" s="303"/>
      <c r="O427" s="303"/>
      <c r="P427" s="324"/>
      <c r="Q427" s="25"/>
      <c r="R427" s="42"/>
      <c r="S427" s="42"/>
      <c r="T427" s="42"/>
      <c r="U427" s="25"/>
    </row>
    <row r="428" spans="1:21" hidden="1">
      <c r="A428" s="405" t="s">
        <v>1584</v>
      </c>
      <c r="B428" s="316">
        <v>3.580211492745307</v>
      </c>
      <c r="C428" s="316">
        <v>66.27387490777933</v>
      </c>
      <c r="D428" s="316">
        <v>14.124108533486352</v>
      </c>
      <c r="E428" s="316">
        <v>2.678498237560456</v>
      </c>
      <c r="F428" s="316">
        <v>0.70702516599721288</v>
      </c>
      <c r="G428" s="316">
        <v>12.552258381834577</v>
      </c>
      <c r="H428" s="363">
        <f t="shared" si="23"/>
        <v>1.0045289855072463</v>
      </c>
      <c r="K428" s="303"/>
      <c r="L428" s="365"/>
      <c r="M428" s="365"/>
      <c r="N428" s="303"/>
      <c r="O428" s="303"/>
      <c r="P428" s="324"/>
      <c r="Q428" s="25"/>
      <c r="R428" s="42"/>
      <c r="S428" s="42"/>
      <c r="T428" s="42"/>
      <c r="U428" s="25"/>
    </row>
    <row r="429" spans="1:21" hidden="1">
      <c r="A429" s="405" t="s">
        <v>1585</v>
      </c>
      <c r="B429" s="316">
        <v>1.6047690014903129</v>
      </c>
      <c r="C429" s="316">
        <v>65.673919523099855</v>
      </c>
      <c r="D429" s="316">
        <v>20.0548435171386</v>
      </c>
      <c r="E429" s="316">
        <v>1.3126676602086438</v>
      </c>
      <c r="F429" s="316">
        <v>0.18241430700447095</v>
      </c>
      <c r="G429" s="316">
        <v>11.095081967213115</v>
      </c>
      <c r="H429" s="363">
        <f t="shared" si="23"/>
        <v>0.29314110965487111</v>
      </c>
      <c r="K429" s="303"/>
      <c r="L429" s="303"/>
      <c r="M429" s="315"/>
      <c r="N429" s="303"/>
      <c r="O429" s="303"/>
      <c r="P429" s="324"/>
      <c r="Q429" s="25"/>
      <c r="R429" s="42"/>
      <c r="S429" s="42"/>
      <c r="T429" s="42"/>
      <c r="U429" s="25"/>
    </row>
    <row r="430" spans="1:21" ht="15.75" hidden="1">
      <c r="A430" s="405" t="s">
        <v>1586</v>
      </c>
      <c r="B430" s="316">
        <v>1.604971295705673</v>
      </c>
      <c r="C430" s="316">
        <v>64.244120249387848</v>
      </c>
      <c r="D430" s="316">
        <v>19.636206506306713</v>
      </c>
      <c r="E430" s="316">
        <v>2.0247330191979258</v>
      </c>
      <c r="F430" s="316">
        <v>0.27984114899483525</v>
      </c>
      <c r="G430" s="316">
        <v>12.070207205909586</v>
      </c>
      <c r="H430" s="363">
        <f t="shared" si="23"/>
        <v>0.25881920627143556</v>
      </c>
      <c r="K430" s="366" t="s">
        <v>1419</v>
      </c>
      <c r="L430" s="367" t="s">
        <v>1420</v>
      </c>
      <c r="M430" s="315"/>
      <c r="N430" s="303"/>
      <c r="O430" s="303"/>
      <c r="P430" s="324"/>
      <c r="Q430" s="25"/>
      <c r="R430" s="42"/>
      <c r="S430" s="42"/>
      <c r="T430" s="42"/>
      <c r="U430" s="25"/>
    </row>
    <row r="431" spans="1:21" hidden="1">
      <c r="A431" s="405" t="s">
        <v>1587</v>
      </c>
      <c r="B431" s="316">
        <v>1.6993969881654896</v>
      </c>
      <c r="C431" s="316">
        <v>63.093740930637516</v>
      </c>
      <c r="D431" s="316">
        <v>25.033052787720486</v>
      </c>
      <c r="E431" s="316">
        <v>2.8054561284705422</v>
      </c>
      <c r="F431" s="316">
        <v>0.1257618264486795</v>
      </c>
      <c r="G431" s="316">
        <v>7.2103447163909573</v>
      </c>
      <c r="H431" s="363">
        <f t="shared" si="23"/>
        <v>0.32387129116145003</v>
      </c>
      <c r="K431" s="315" t="s">
        <v>1216</v>
      </c>
      <c r="L431" s="359">
        <v>0.55100000000000005</v>
      </c>
      <c r="M431" s="315"/>
      <c r="N431" s="303"/>
      <c r="O431" s="303"/>
      <c r="P431" s="324"/>
      <c r="Q431" s="25"/>
      <c r="R431" s="25"/>
      <c r="S431" s="25"/>
      <c r="T431" s="25"/>
      <c r="U431" s="25"/>
    </row>
    <row r="432" spans="1:21" hidden="1">
      <c r="A432" s="405" t="s">
        <v>1588</v>
      </c>
      <c r="B432" s="316">
        <v>1.3671340981103091</v>
      </c>
      <c r="C432" s="316">
        <v>61.430001874602794</v>
      </c>
      <c r="D432" s="316">
        <v>14.033002153507107</v>
      </c>
      <c r="E432" s="316">
        <v>3.374239299904441</v>
      </c>
      <c r="F432" s="316">
        <v>0.65076150023089629</v>
      </c>
      <c r="G432" s="316">
        <v>19.081673243017104</v>
      </c>
      <c r="H432" s="363">
        <f t="shared" si="23"/>
        <v>0.78845527828077222</v>
      </c>
      <c r="K432" s="315" t="s">
        <v>27</v>
      </c>
      <c r="L432" s="359">
        <v>0.47</v>
      </c>
      <c r="M432" s="315"/>
      <c r="N432" s="303"/>
      <c r="O432" s="303"/>
      <c r="P432" s="324"/>
      <c r="Q432" s="25"/>
      <c r="R432" s="25"/>
      <c r="S432" s="25"/>
      <c r="T432" s="25"/>
      <c r="U432" s="25"/>
    </row>
    <row r="433" spans="1:21" hidden="1">
      <c r="A433" s="405" t="s">
        <v>1589</v>
      </c>
      <c r="B433" s="316">
        <v>5.2046455653311838</v>
      </c>
      <c r="C433" s="316">
        <v>61.172257469008137</v>
      </c>
      <c r="D433" s="316">
        <v>19.840045801348335</v>
      </c>
      <c r="E433" s="316">
        <v>3.3696706275485764</v>
      </c>
      <c r="F433" s="316">
        <v>0</v>
      </c>
      <c r="G433" s="316">
        <v>10.413380536763761</v>
      </c>
      <c r="H433" s="363">
        <f t="shared" si="23"/>
        <v>0.56474808295343748</v>
      </c>
      <c r="K433" s="315" t="s">
        <v>147</v>
      </c>
      <c r="L433" s="359">
        <v>0.75</v>
      </c>
      <c r="M433" s="315"/>
      <c r="N433" s="303"/>
      <c r="O433" s="303"/>
      <c r="P433" s="324"/>
      <c r="Q433" s="25"/>
      <c r="R433" s="25"/>
      <c r="S433" s="25"/>
      <c r="T433" s="25"/>
      <c r="U433" s="25"/>
    </row>
    <row r="434" spans="1:21" hidden="1">
      <c r="A434" s="405" t="s">
        <v>1590</v>
      </c>
      <c r="B434" s="316">
        <v>1.2358536416024439</v>
      </c>
      <c r="C434" s="316">
        <v>57.385035525006366</v>
      </c>
      <c r="D434" s="316">
        <v>21.424934620102295</v>
      </c>
      <c r="E434" s="316">
        <v>1.1536948320951657</v>
      </c>
      <c r="F434" s="316">
        <v>0.10356638663241455</v>
      </c>
      <c r="G434" s="316">
        <v>18.687657663912614</v>
      </c>
      <c r="H434" s="363">
        <f t="shared" si="23"/>
        <v>0.49502358605401164</v>
      </c>
      <c r="K434" s="315" t="s">
        <v>1421</v>
      </c>
      <c r="L434" s="359">
        <f>AVERAGE(0.55,0.54,0.54,0.54)</f>
        <v>0.54249999999999998</v>
      </c>
      <c r="M434" s="315"/>
      <c r="N434" s="303"/>
      <c r="O434" s="303"/>
      <c r="P434" s="324"/>
      <c r="Q434" s="25"/>
      <c r="R434" s="25"/>
      <c r="S434" s="25"/>
      <c r="T434" s="25"/>
      <c r="U434" s="25"/>
    </row>
    <row r="435" spans="1:21" hidden="1">
      <c r="A435" s="405" t="s">
        <v>1591</v>
      </c>
      <c r="B435" s="316">
        <v>2.6009700339060879</v>
      </c>
      <c r="C435" s="316">
        <v>56.627676715496349</v>
      </c>
      <c r="D435" s="316">
        <v>30.017342533485849</v>
      </c>
      <c r="E435" s="316">
        <v>1.6432357969570617</v>
      </c>
      <c r="F435" s="316">
        <v>0.34398074691790786</v>
      </c>
      <c r="G435" s="316">
        <v>8.7667941732367396</v>
      </c>
      <c r="H435" s="363">
        <f t="shared" si="23"/>
        <v>0.89445852234596923</v>
      </c>
      <c r="K435" s="315" t="s">
        <v>140</v>
      </c>
      <c r="L435" s="359">
        <v>0.7</v>
      </c>
      <c r="M435" s="315"/>
      <c r="N435" s="303"/>
      <c r="O435" s="303"/>
      <c r="P435" s="324"/>
      <c r="Q435" s="25"/>
      <c r="R435" s="25"/>
      <c r="S435" s="25"/>
      <c r="T435" s="25"/>
      <c r="U435" s="25"/>
    </row>
    <row r="436" spans="1:21" hidden="1">
      <c r="A436" s="405" t="s">
        <v>1592</v>
      </c>
      <c r="B436" s="316">
        <v>1.9690502998088555</v>
      </c>
      <c r="C436" s="316">
        <v>56.341371876445585</v>
      </c>
      <c r="D436" s="316">
        <v>27.663585661543294</v>
      </c>
      <c r="E436" s="316">
        <v>1.1826521082628543</v>
      </c>
      <c r="F436" s="316">
        <v>3.9276269278102169E-2</v>
      </c>
      <c r="G436" s="316">
        <v>12.804063784661306</v>
      </c>
      <c r="H436" s="363">
        <f t="shared" si="23"/>
        <v>0.51391517700665967</v>
      </c>
      <c r="K436" s="315" t="s">
        <v>1422</v>
      </c>
      <c r="L436" s="359">
        <v>0.72</v>
      </c>
      <c r="M436" s="315"/>
      <c r="N436" s="303"/>
      <c r="O436" s="303"/>
      <c r="P436" s="324"/>
      <c r="Q436" s="25"/>
      <c r="R436" s="25"/>
      <c r="S436" s="25"/>
      <c r="T436" s="25"/>
      <c r="U436" s="25"/>
    </row>
    <row r="437" spans="1:21" hidden="1">
      <c r="A437" s="405" t="s">
        <v>1593</v>
      </c>
      <c r="B437" s="316">
        <v>1.0281939145808132</v>
      </c>
      <c r="C437" s="316">
        <v>53.283086752892274</v>
      </c>
      <c r="D437" s="316">
        <v>19.990074749542508</v>
      </c>
      <c r="E437" s="316">
        <v>6.1939766136286094</v>
      </c>
      <c r="F437" s="316">
        <v>0.20315747030178963</v>
      </c>
      <c r="G437" s="316">
        <v>19.265841630222386</v>
      </c>
      <c r="H437" s="363">
        <f t="shared" si="23"/>
        <v>0.33909161184469999</v>
      </c>
      <c r="K437" s="315" t="s">
        <v>1423</v>
      </c>
      <c r="L437" s="359">
        <v>0.75</v>
      </c>
      <c r="M437" s="315"/>
      <c r="N437" s="303"/>
      <c r="O437" s="303"/>
      <c r="P437" s="324"/>
      <c r="Q437" s="25"/>
      <c r="R437" s="25"/>
      <c r="S437" s="25"/>
      <c r="T437" s="25"/>
      <c r="U437" s="25"/>
    </row>
    <row r="438" spans="1:21" hidden="1">
      <c r="A438" s="405" t="s">
        <v>1594</v>
      </c>
      <c r="B438" s="316">
        <v>1.8843846556926802</v>
      </c>
      <c r="C438" s="316">
        <v>51.983539020291637</v>
      </c>
      <c r="D438" s="316">
        <v>8.8977678598317169</v>
      </c>
      <c r="E438" s="316">
        <v>24.357265899330841</v>
      </c>
      <c r="F438" s="316">
        <v>7.1674225587096227E-2</v>
      </c>
      <c r="G438" s="316">
        <v>12.805293051213944</v>
      </c>
      <c r="H438" s="363">
        <f t="shared" si="23"/>
        <v>0.75640893196106196</v>
      </c>
      <c r="K438" s="315" t="s">
        <v>858</v>
      </c>
      <c r="L438" s="359">
        <v>0.45</v>
      </c>
      <c r="M438" s="315"/>
      <c r="N438" s="303"/>
      <c r="O438" s="303"/>
      <c r="P438" s="324"/>
      <c r="Q438" s="25"/>
      <c r="R438" s="25"/>
      <c r="S438" s="25"/>
      <c r="T438" s="25"/>
      <c r="U438" s="25"/>
    </row>
    <row r="439" spans="1:21" hidden="1">
      <c r="A439" s="405" t="s">
        <v>1595</v>
      </c>
      <c r="B439" s="316">
        <v>1.9223683499466966</v>
      </c>
      <c r="C439" s="316">
        <v>49.504546772062042</v>
      </c>
      <c r="D439" s="316">
        <v>21.130822250934656</v>
      </c>
      <c r="E439" s="316">
        <v>10.155685798645058</v>
      </c>
      <c r="F439" s="316">
        <v>1.8815923282125853</v>
      </c>
      <c r="G439" s="316">
        <v>15.238932749040782</v>
      </c>
      <c r="H439" s="363">
        <f t="shared" si="23"/>
        <v>0.55896188203504515</v>
      </c>
      <c r="K439" s="303"/>
      <c r="L439" s="303"/>
      <c r="M439" s="315"/>
      <c r="N439" s="303"/>
      <c r="O439" s="303"/>
      <c r="P439" s="324"/>
      <c r="Q439" s="25"/>
      <c r="R439" s="25"/>
      <c r="S439" s="25"/>
      <c r="T439" s="25"/>
      <c r="U439" s="25"/>
    </row>
    <row r="440" spans="1:21" hidden="1">
      <c r="A440" s="405" t="s">
        <v>1596</v>
      </c>
      <c r="B440" s="316">
        <v>2.0047362648049023</v>
      </c>
      <c r="C440" s="316">
        <v>48.655097460681887</v>
      </c>
      <c r="D440" s="316">
        <v>35.648514606742793</v>
      </c>
      <c r="E440" s="316">
        <v>1.0285811143749821</v>
      </c>
      <c r="F440" s="316">
        <v>7.073430575800066E-2</v>
      </c>
      <c r="G440" s="316">
        <v>12.592336247637435</v>
      </c>
      <c r="H440" s="363">
        <f t="shared" si="23"/>
        <v>1.1022379005939071</v>
      </c>
      <c r="K440" s="303"/>
      <c r="L440" s="303"/>
      <c r="M440" s="315"/>
      <c r="N440" s="303"/>
      <c r="O440" s="303"/>
      <c r="P440" s="324"/>
      <c r="Q440" s="25"/>
      <c r="R440" s="25"/>
      <c r="S440" s="25"/>
      <c r="T440" s="25"/>
      <c r="U440" s="25"/>
    </row>
    <row r="441" spans="1:21" hidden="1">
      <c r="A441" s="405" t="s">
        <v>1597</v>
      </c>
      <c r="B441" s="316">
        <v>1.8075043346278112</v>
      </c>
      <c r="C441" s="316">
        <v>47.985120960394212</v>
      </c>
      <c r="D441" s="316">
        <v>29.799325009247571</v>
      </c>
      <c r="E441" s="316">
        <v>0.294612840536981</v>
      </c>
      <c r="F441" s="316">
        <v>8.9147663229153143E-2</v>
      </c>
      <c r="G441" s="316">
        <v>19.939833511010338</v>
      </c>
      <c r="H441" s="363">
        <f t="shared" si="23"/>
        <v>0.63599255232698149</v>
      </c>
      <c r="K441" s="303"/>
      <c r="L441" s="303"/>
      <c r="M441" s="315"/>
      <c r="N441" s="303"/>
      <c r="O441" s="303"/>
      <c r="P441" s="324"/>
      <c r="Q441" s="25"/>
      <c r="R441" s="25"/>
      <c r="S441" s="25"/>
      <c r="T441" s="25"/>
      <c r="U441" s="25"/>
    </row>
    <row r="442" spans="1:21" hidden="1">
      <c r="A442" s="405" t="s">
        <v>1598</v>
      </c>
      <c r="B442" s="316">
        <v>2.5717746528585526</v>
      </c>
      <c r="C442" s="316">
        <v>47.514459213386715</v>
      </c>
      <c r="D442" s="316">
        <v>15.849383528128286</v>
      </c>
      <c r="E442" s="316">
        <v>18.240668693496765</v>
      </c>
      <c r="F442" s="316">
        <v>0.51419449547171936</v>
      </c>
      <c r="G442" s="316">
        <v>16.353149742100577</v>
      </c>
      <c r="H442" s="363">
        <f t="shared" si="23"/>
        <v>1.2454153994399109</v>
      </c>
      <c r="K442" s="303"/>
      <c r="L442" s="303"/>
      <c r="M442" s="315"/>
      <c r="N442" s="303"/>
      <c r="O442" s="303"/>
      <c r="P442" s="324"/>
      <c r="Q442" s="25"/>
      <c r="R442" s="25"/>
      <c r="S442" s="25"/>
      <c r="T442" s="25"/>
      <c r="U442" s="25"/>
    </row>
    <row r="443" spans="1:21" hidden="1">
      <c r="A443" s="405" t="s">
        <v>1599</v>
      </c>
      <c r="B443" s="316">
        <v>0.85145796832978093</v>
      </c>
      <c r="C443" s="316">
        <v>46.714968028478644</v>
      </c>
      <c r="D443" s="316">
        <v>42.507616252469006</v>
      </c>
      <c r="E443" s="316">
        <v>0.32724777092098067</v>
      </c>
      <c r="F443" s="316">
        <v>0.10768767227237727</v>
      </c>
      <c r="G443" s="316">
        <v>9.4904643403153628</v>
      </c>
      <c r="H443" s="363">
        <f t="shared" si="23"/>
        <v>2.7406070800519919</v>
      </c>
      <c r="K443" s="303"/>
      <c r="L443" s="303"/>
      <c r="M443" s="315"/>
      <c r="N443" s="303"/>
      <c r="O443" s="303"/>
      <c r="P443" s="324"/>
      <c r="Q443" s="25"/>
      <c r="R443" s="25"/>
      <c r="S443" s="25"/>
      <c r="T443" s="25"/>
      <c r="U443" s="25"/>
    </row>
    <row r="444" spans="1:21" hidden="1">
      <c r="A444" s="405" t="s">
        <v>1600</v>
      </c>
      <c r="B444" s="316">
        <v>4.8814042208584167</v>
      </c>
      <c r="C444" s="316">
        <v>45.586441736347581</v>
      </c>
      <c r="D444" s="316">
        <v>15.207188923905514</v>
      </c>
      <c r="E444" s="316">
        <v>13.20213482159409</v>
      </c>
      <c r="F444" s="316">
        <v>2.7865861392707649</v>
      </c>
      <c r="G444" s="316">
        <v>18.206476666243862</v>
      </c>
      <c r="H444" s="363">
        <f t="shared" si="23"/>
        <v>0.22036620554124542</v>
      </c>
      <c r="K444" s="303"/>
      <c r="L444" s="303"/>
      <c r="M444" s="315"/>
      <c r="N444" s="303"/>
      <c r="O444" s="303"/>
      <c r="P444" s="324"/>
      <c r="Q444" s="25"/>
      <c r="R444" s="25"/>
      <c r="S444" s="25"/>
      <c r="T444" s="25"/>
      <c r="U444" s="25"/>
    </row>
    <row r="445" spans="1:21" hidden="1">
      <c r="A445" s="405" t="s">
        <v>1601</v>
      </c>
      <c r="B445" s="316">
        <v>1.4270977900145825</v>
      </c>
      <c r="C445" s="316">
        <v>44.670465006875197</v>
      </c>
      <c r="D445" s="316">
        <v>24.565006128477204</v>
      </c>
      <c r="E445" s="316">
        <v>7.0380946996406113</v>
      </c>
      <c r="F445" s="316">
        <v>0.98215647725102861</v>
      </c>
      <c r="G445" s="316">
        <v>21.180529257211493</v>
      </c>
      <c r="H445" s="363">
        <f t="shared" si="23"/>
        <v>0.77480413492477407</v>
      </c>
      <c r="K445" s="303"/>
      <c r="L445" s="303"/>
      <c r="M445" s="315"/>
      <c r="N445" s="303"/>
      <c r="O445" s="303"/>
      <c r="P445" s="324"/>
      <c r="Q445" s="25"/>
      <c r="R445" s="25"/>
      <c r="S445" s="25"/>
      <c r="T445" s="25"/>
      <c r="U445" s="25"/>
    </row>
    <row r="446" spans="1:21" hidden="1">
      <c r="A446" s="405" t="s">
        <v>1602</v>
      </c>
      <c r="B446" s="316">
        <v>1.5817814163782462</v>
      </c>
      <c r="C446" s="316">
        <v>42.466658083474073</v>
      </c>
      <c r="D446" s="316">
        <v>36.941253095629385</v>
      </c>
      <c r="E446" s="316">
        <v>1.5655743291856317</v>
      </c>
      <c r="F446" s="316">
        <v>0.6248059314909763</v>
      </c>
      <c r="G446" s="316">
        <v>16.807506759264168</v>
      </c>
      <c r="H446" s="363">
        <f t="shared" si="23"/>
        <v>3.5733693445985808</v>
      </c>
      <c r="K446" s="303"/>
      <c r="L446" s="303"/>
      <c r="M446" s="315"/>
      <c r="N446" s="303"/>
      <c r="O446" s="303"/>
      <c r="P446" s="324"/>
      <c r="Q446" s="25"/>
      <c r="R446" s="25"/>
      <c r="S446" s="25"/>
      <c r="T446" s="25"/>
      <c r="U446" s="25"/>
    </row>
    <row r="447" spans="1:21" hidden="1">
      <c r="A447" s="405" t="s">
        <v>1603</v>
      </c>
      <c r="B447" s="316">
        <v>1.6550542811508993</v>
      </c>
      <c r="C447" s="316">
        <v>38.826647531307145</v>
      </c>
      <c r="D447" s="316">
        <v>33.458716233420517</v>
      </c>
      <c r="E447" s="316">
        <v>9.2856646836878785</v>
      </c>
      <c r="F447" s="316">
        <v>0.99650471053910794</v>
      </c>
      <c r="G447" s="316">
        <v>15.735746857711627</v>
      </c>
      <c r="H447" s="363">
        <f t="shared" si="23"/>
        <v>0.54991089613034627</v>
      </c>
      <c r="K447" s="303"/>
      <c r="L447" s="303"/>
      <c r="M447" s="315"/>
      <c r="N447" s="303"/>
      <c r="O447" s="303"/>
      <c r="P447" s="324"/>
      <c r="Q447" s="25"/>
      <c r="R447" s="25"/>
      <c r="S447" s="25"/>
      <c r="T447" s="25"/>
      <c r="U447" s="25"/>
    </row>
    <row r="448" spans="1:21" hidden="1">
      <c r="A448" s="405" t="s">
        <v>1604</v>
      </c>
      <c r="B448" s="316">
        <v>7.6570103169450743</v>
      </c>
      <c r="C448" s="316">
        <v>33.092611314671849</v>
      </c>
      <c r="D448" s="316">
        <v>20.411793435986901</v>
      </c>
      <c r="E448" s="316">
        <v>17.97777424924276</v>
      </c>
      <c r="F448" s="316">
        <v>2.664155600354551</v>
      </c>
      <c r="G448" s="316">
        <v>18.145602987552532</v>
      </c>
      <c r="H448" s="363">
        <f t="shared" si="23"/>
        <v>0.38107897992087836</v>
      </c>
      <c r="K448" s="303"/>
      <c r="L448" s="303"/>
      <c r="M448" s="315"/>
      <c r="N448" s="303"/>
      <c r="O448" s="303"/>
      <c r="P448" s="324"/>
      <c r="Q448" s="25"/>
      <c r="R448" s="25"/>
      <c r="S448" s="25"/>
      <c r="T448" s="25"/>
      <c r="U448" s="25"/>
    </row>
    <row r="449" spans="1:21" hidden="1">
      <c r="A449" s="405" t="s">
        <v>1605</v>
      </c>
      <c r="B449" s="316">
        <v>2.6052104208416833</v>
      </c>
      <c r="C449" s="316">
        <v>32.035499570569712</v>
      </c>
      <c r="D449" s="316">
        <v>36.44431720584025</v>
      </c>
      <c r="E449" s="316">
        <v>2.8342399083882048</v>
      </c>
      <c r="F449" s="316">
        <v>1.1451474377326081</v>
      </c>
      <c r="G449" s="316">
        <v>24.305754365874606</v>
      </c>
      <c r="H449" s="363">
        <f t="shared" si="23"/>
        <v>3.2104779411764706</v>
      </c>
      <c r="K449" s="303"/>
      <c r="L449" s="303"/>
      <c r="M449" s="315"/>
      <c r="N449" s="303"/>
      <c r="O449" s="303"/>
      <c r="P449" s="324"/>
      <c r="Q449" s="25"/>
      <c r="R449" s="25"/>
      <c r="S449" s="25"/>
      <c r="T449" s="25"/>
      <c r="U449" s="25"/>
    </row>
    <row r="450" spans="1:21" hidden="1">
      <c r="A450" s="405" t="s">
        <v>1606</v>
      </c>
      <c r="B450" s="316">
        <v>1.6974573308352336</v>
      </c>
      <c r="C450" s="316">
        <v>28.586116514695874</v>
      </c>
      <c r="D450" s="316">
        <v>40.516657024112362</v>
      </c>
      <c r="E450" s="316">
        <v>11.000510974927749</v>
      </c>
      <c r="F450" s="316">
        <v>1.6491181372653807</v>
      </c>
      <c r="G450" s="316">
        <v>16.402226223288459</v>
      </c>
      <c r="H450" s="363">
        <f t="shared" si="23"/>
        <v>0.62238425216585935</v>
      </c>
      <c r="K450" s="303"/>
      <c r="L450" s="303"/>
      <c r="M450" s="315"/>
      <c r="N450" s="303"/>
      <c r="O450" s="303"/>
      <c r="P450" s="324"/>
      <c r="Q450" s="25"/>
      <c r="R450" s="25"/>
      <c r="S450" s="25"/>
      <c r="T450" s="25"/>
      <c r="U450" s="25"/>
    </row>
    <row r="451" spans="1:21" hidden="1">
      <c r="A451" s="405" t="s">
        <v>1607</v>
      </c>
      <c r="B451" s="316">
        <v>1.1080493251302199</v>
      </c>
      <c r="C451" s="316">
        <v>28.251144943980606</v>
      </c>
      <c r="D451" s="316">
        <v>65.69111552502909</v>
      </c>
      <c r="E451" s="316">
        <v>0.36604336876026694</v>
      </c>
      <c r="F451" s="316">
        <v>2.9273792214138998E-2</v>
      </c>
      <c r="G451" s="316">
        <v>4.5541311127186157</v>
      </c>
      <c r="H451" s="363">
        <f t="shared" si="23"/>
        <v>1.5780272893171563</v>
      </c>
      <c r="K451" s="303"/>
      <c r="L451" s="303"/>
      <c r="M451" s="315"/>
      <c r="N451" s="303"/>
      <c r="O451" s="303"/>
      <c r="P451" s="324"/>
      <c r="Q451" s="25"/>
      <c r="R451" s="25"/>
      <c r="S451" s="25"/>
      <c r="T451" s="25"/>
      <c r="U451" s="25"/>
    </row>
    <row r="452" spans="1:21" hidden="1">
      <c r="A452" s="405" t="s">
        <v>1608</v>
      </c>
      <c r="B452" s="316">
        <v>2.3075765355808562</v>
      </c>
      <c r="C452" s="316">
        <v>24.612674185951803</v>
      </c>
      <c r="D452" s="316">
        <v>31.008640685588826</v>
      </c>
      <c r="E452" s="316">
        <v>5.089682525629903</v>
      </c>
      <c r="F452" s="316">
        <v>0.3939656851461657</v>
      </c>
      <c r="G452" s="316">
        <v>36.476353205729765</v>
      </c>
      <c r="H452" s="363">
        <f t="shared" si="23"/>
        <v>0.4851434118182677</v>
      </c>
      <c r="K452" s="303"/>
      <c r="L452" s="303"/>
      <c r="M452" s="315"/>
      <c r="N452" s="303"/>
      <c r="O452" s="303"/>
      <c r="P452" s="324"/>
      <c r="Q452" s="25"/>
      <c r="R452" s="25"/>
      <c r="S452" s="25"/>
      <c r="T452" s="25"/>
      <c r="U452" s="25"/>
    </row>
    <row r="453" spans="1:21" hidden="1">
      <c r="A453" s="405" t="s">
        <v>1609</v>
      </c>
      <c r="B453" s="316">
        <v>0.25785010314004125</v>
      </c>
      <c r="C453" s="316">
        <v>22.524639009855601</v>
      </c>
      <c r="D453" s="316">
        <v>41.118496447398584</v>
      </c>
      <c r="E453" s="316">
        <v>14.737565895026357</v>
      </c>
      <c r="F453" s="316">
        <v>9.8212239284895713</v>
      </c>
      <c r="G453" s="316">
        <v>11.305294522117808</v>
      </c>
      <c r="H453" s="363">
        <f t="shared" si="23"/>
        <v>1.5962681789078936</v>
      </c>
      <c r="K453" s="303"/>
      <c r="L453" s="303"/>
      <c r="M453" s="315"/>
      <c r="N453" s="303"/>
      <c r="O453" s="303"/>
      <c r="P453" s="324"/>
      <c r="Q453" s="25"/>
      <c r="R453" s="25"/>
      <c r="S453" s="25"/>
      <c r="T453" s="25"/>
      <c r="U453" s="25"/>
    </row>
    <row r="454" spans="1:21" hidden="1">
      <c r="A454" s="405" t="s">
        <v>1610</v>
      </c>
      <c r="B454" s="316">
        <v>0.9794771766418725</v>
      </c>
      <c r="C454" s="316">
        <v>20.830339060560529</v>
      </c>
      <c r="D454" s="316">
        <v>8.2735256511959978</v>
      </c>
      <c r="E454" s="316">
        <v>40.532809452258071</v>
      </c>
      <c r="F454" s="316">
        <v>17.054755527349766</v>
      </c>
      <c r="G454" s="316">
        <v>12.218499472696896</v>
      </c>
      <c r="H454" s="363">
        <f t="shared" si="23"/>
        <v>0.44123472753552767</v>
      </c>
      <c r="K454" s="303"/>
      <c r="L454" s="303"/>
      <c r="M454" s="315"/>
      <c r="N454" s="303"/>
      <c r="O454" s="303"/>
      <c r="P454" s="324"/>
      <c r="Q454" s="25"/>
      <c r="R454" s="25"/>
      <c r="S454" s="25"/>
      <c r="T454" s="25"/>
      <c r="U454" s="25"/>
    </row>
    <row r="455" spans="1:21" ht="15.75" hidden="1" thickBot="1">
      <c r="A455" s="406" t="s">
        <v>1598</v>
      </c>
      <c r="B455" s="317">
        <v>2.5451514309530423</v>
      </c>
      <c r="C455" s="317">
        <v>47.022585638867945</v>
      </c>
      <c r="D455" s="317">
        <v>15.68530941134442</v>
      </c>
      <c r="E455" s="317">
        <v>18.051839796768942</v>
      </c>
      <c r="F455" s="317">
        <v>0.50887151192791646</v>
      </c>
      <c r="G455" s="317">
        <v>16.183860596197356</v>
      </c>
      <c r="H455" s="368">
        <f t="shared" si="23"/>
        <v>1.2454153994399109</v>
      </c>
      <c r="K455" s="303"/>
      <c r="L455" s="303"/>
      <c r="M455" s="315"/>
      <c r="N455" s="303"/>
      <c r="O455" s="303"/>
      <c r="P455" s="324"/>
      <c r="Q455" s="25"/>
      <c r="R455" s="25"/>
      <c r="S455" s="25"/>
      <c r="T455" s="25"/>
      <c r="U455" s="25"/>
    </row>
    <row r="456" spans="1:21" hidden="1">
      <c r="K456" s="303"/>
      <c r="L456" s="303"/>
      <c r="M456" s="315"/>
      <c r="N456" s="303"/>
      <c r="O456" s="303"/>
      <c r="P456" s="324"/>
      <c r="Q456" s="25"/>
      <c r="R456" s="25"/>
      <c r="S456" s="25"/>
      <c r="T456" s="25"/>
      <c r="U456" s="25"/>
    </row>
    <row r="457" spans="1:21" ht="15.75" hidden="1" thickBot="1">
      <c r="F457" s="318"/>
      <c r="K457" s="303"/>
      <c r="L457" s="303"/>
      <c r="M457" s="315"/>
      <c r="N457" s="303"/>
      <c r="O457" s="303"/>
      <c r="P457" s="324"/>
      <c r="Q457" s="25"/>
      <c r="R457" s="25"/>
      <c r="S457" s="25"/>
      <c r="T457" s="25"/>
      <c r="U457" s="25"/>
    </row>
    <row r="458" spans="1:21" hidden="1">
      <c r="A458" s="407" t="s">
        <v>1560</v>
      </c>
      <c r="B458" s="532"/>
      <c r="C458" s="369"/>
      <c r="D458" s="319"/>
      <c r="F458" s="315"/>
      <c r="K458" s="303"/>
      <c r="L458" s="303"/>
      <c r="M458" s="315"/>
      <c r="N458" s="303"/>
      <c r="O458" s="303"/>
      <c r="P458" s="324"/>
      <c r="Q458" s="25"/>
      <c r="R458" s="25"/>
      <c r="S458" s="25"/>
      <c r="T458" s="25"/>
      <c r="U458" s="25"/>
    </row>
    <row r="459" spans="1:21" hidden="1">
      <c r="A459" s="408"/>
      <c r="B459" s="533"/>
      <c r="C459" s="370"/>
      <c r="D459" s="320"/>
      <c r="F459" s="315"/>
      <c r="K459" s="303"/>
      <c r="L459" s="303"/>
      <c r="M459" s="315"/>
      <c r="N459" s="303"/>
      <c r="O459" s="303"/>
      <c r="P459" s="324"/>
      <c r="Q459" s="25"/>
      <c r="R459" s="25"/>
      <c r="S459" s="25"/>
      <c r="T459" s="25"/>
      <c r="U459" s="25"/>
    </row>
    <row r="460" spans="1:21" hidden="1">
      <c r="A460" s="409">
        <f>0.255/1.2</f>
        <v>0.21250000000000002</v>
      </c>
      <c r="B460" s="534" t="s">
        <v>1562</v>
      </c>
      <c r="C460" s="371"/>
      <c r="D460" s="321"/>
      <c r="G460" s="303"/>
      <c r="J460" s="303"/>
      <c r="K460" s="303"/>
      <c r="L460" s="303"/>
      <c r="M460" s="315"/>
      <c r="N460" s="303"/>
      <c r="O460" s="303"/>
      <c r="P460" s="324"/>
      <c r="Q460" s="25"/>
      <c r="R460" s="25"/>
      <c r="S460" s="25"/>
      <c r="T460" s="25"/>
      <c r="U460" s="25"/>
    </row>
    <row r="461" spans="1:21" ht="15.75" hidden="1" thickBot="1">
      <c r="A461" s="410">
        <f>1-A460</f>
        <v>0.78749999999999998</v>
      </c>
      <c r="B461" s="535" t="s">
        <v>1563</v>
      </c>
      <c r="C461" s="372"/>
      <c r="D461" s="322"/>
      <c r="G461" s="303"/>
      <c r="J461" s="303"/>
      <c r="K461" s="303"/>
      <c r="L461" s="303"/>
      <c r="M461" s="315"/>
      <c r="N461" s="303"/>
      <c r="O461" s="303"/>
      <c r="P461" s="324"/>
      <c r="Q461" s="25"/>
      <c r="R461" s="25"/>
      <c r="S461" s="25"/>
      <c r="T461" s="25"/>
      <c r="U461" s="25"/>
    </row>
    <row r="462" spans="1:21" hidden="1">
      <c r="G462" s="303"/>
      <c r="J462" s="303"/>
      <c r="K462" s="303"/>
      <c r="L462" s="303"/>
      <c r="M462" s="315"/>
      <c r="N462" s="303"/>
      <c r="O462" s="303"/>
      <c r="P462" s="324"/>
      <c r="Q462" s="25"/>
      <c r="R462" s="25"/>
      <c r="S462" s="25"/>
      <c r="T462" s="25"/>
      <c r="U462" s="25"/>
    </row>
    <row r="463" spans="1:21" hidden="1">
      <c r="G463" s="303"/>
      <c r="J463" s="303"/>
      <c r="K463" s="303"/>
      <c r="L463" s="303"/>
      <c r="M463" s="315"/>
      <c r="N463" s="303"/>
      <c r="O463" s="303"/>
      <c r="P463" s="324"/>
      <c r="Q463" s="25"/>
      <c r="R463" s="25"/>
      <c r="S463" s="25"/>
      <c r="T463" s="25"/>
      <c r="U463" s="25"/>
    </row>
    <row r="464" spans="1:21" hidden="1">
      <c r="F464" s="303"/>
      <c r="G464" s="303"/>
      <c r="J464" s="303"/>
      <c r="K464" s="303"/>
      <c r="L464" s="303"/>
      <c r="M464" s="315"/>
      <c r="N464" s="303"/>
      <c r="O464" s="303"/>
      <c r="P464" s="324"/>
      <c r="Q464" s="25"/>
      <c r="R464" s="25"/>
      <c r="S464" s="25"/>
      <c r="T464" s="25"/>
      <c r="U464" s="25"/>
    </row>
    <row r="465" spans="6:21" hidden="1">
      <c r="F465" s="303"/>
      <c r="G465" s="303"/>
      <c r="J465" s="303"/>
      <c r="K465" s="303"/>
      <c r="L465" s="303"/>
      <c r="M465" s="315"/>
      <c r="N465" s="303"/>
      <c r="O465" s="303"/>
      <c r="P465" s="324"/>
      <c r="Q465" s="25"/>
      <c r="R465" s="25"/>
      <c r="S465" s="25"/>
      <c r="T465" s="25"/>
      <c r="U465" s="25"/>
    </row>
    <row r="466" spans="6:21" hidden="1">
      <c r="F466" s="303"/>
      <c r="G466" s="303"/>
      <c r="J466" s="303"/>
      <c r="K466" s="303"/>
      <c r="L466" s="303"/>
      <c r="M466" s="315"/>
      <c r="N466" s="303"/>
      <c r="O466" s="303"/>
      <c r="P466" s="324"/>
      <c r="Q466" s="25"/>
      <c r="R466" s="25"/>
      <c r="S466" s="25"/>
      <c r="T466" s="25"/>
      <c r="U466" s="25"/>
    </row>
    <row r="467" spans="6:21" hidden="1">
      <c r="F467" s="303"/>
      <c r="G467" s="303"/>
      <c r="J467" s="303"/>
      <c r="K467" s="303"/>
      <c r="L467" s="303"/>
      <c r="M467" s="315"/>
      <c r="N467" s="303"/>
      <c r="O467" s="303"/>
      <c r="P467" s="324"/>
      <c r="Q467" s="25"/>
      <c r="R467" s="25"/>
      <c r="S467" s="25"/>
      <c r="T467" s="25"/>
      <c r="U467" s="25"/>
    </row>
    <row r="468" spans="6:21" hidden="1">
      <c r="F468" s="303"/>
      <c r="G468" s="303"/>
      <c r="J468" s="303"/>
      <c r="K468" s="303"/>
      <c r="L468" s="303"/>
      <c r="M468" s="315"/>
      <c r="N468" s="303"/>
      <c r="O468" s="303"/>
      <c r="P468" s="324"/>
      <c r="Q468" s="25"/>
      <c r="R468" s="25"/>
      <c r="S468" s="25"/>
      <c r="T468" s="25"/>
      <c r="U468" s="25"/>
    </row>
    <row r="469" spans="6:21" hidden="1">
      <c r="F469" s="303"/>
      <c r="G469" s="303"/>
      <c r="J469" s="303"/>
      <c r="K469" s="303"/>
      <c r="L469" s="303"/>
      <c r="M469" s="315"/>
      <c r="N469" s="303"/>
      <c r="O469" s="303"/>
      <c r="P469" s="324"/>
      <c r="Q469" s="25"/>
      <c r="R469" s="25"/>
      <c r="S469" s="25"/>
      <c r="T469" s="25"/>
      <c r="U469" s="25"/>
    </row>
    <row r="470" spans="6:21" hidden="1">
      <c r="F470" s="303"/>
      <c r="G470" s="303"/>
      <c r="J470" s="303"/>
      <c r="K470" s="303"/>
      <c r="L470" s="303"/>
      <c r="M470" s="315"/>
      <c r="N470" s="303"/>
      <c r="O470" s="303"/>
      <c r="P470" s="324"/>
      <c r="Q470" s="25"/>
      <c r="R470" s="25"/>
      <c r="S470" s="25"/>
      <c r="T470" s="25"/>
      <c r="U470" s="25"/>
    </row>
    <row r="471" spans="6:21" hidden="1">
      <c r="F471" s="303"/>
      <c r="G471" s="303"/>
      <c r="J471" s="303"/>
      <c r="K471" s="303"/>
      <c r="L471" s="303"/>
      <c r="M471" s="315"/>
      <c r="N471" s="303"/>
      <c r="O471" s="303"/>
      <c r="P471" s="324"/>
      <c r="Q471" s="25"/>
      <c r="R471" s="25"/>
      <c r="S471" s="25"/>
      <c r="T471" s="25"/>
      <c r="U471" s="25"/>
    </row>
    <row r="472" spans="6:21" hidden="1">
      <c r="F472" s="303"/>
      <c r="G472" s="303"/>
      <c r="J472" s="303"/>
      <c r="K472" s="303"/>
      <c r="L472" s="303"/>
      <c r="M472" s="315"/>
      <c r="N472" s="303"/>
      <c r="O472" s="303"/>
      <c r="P472" s="324"/>
      <c r="Q472" s="25"/>
      <c r="R472" s="25"/>
      <c r="S472" s="25"/>
      <c r="T472" s="25"/>
      <c r="U472" s="25"/>
    </row>
    <row r="473" spans="6:21" hidden="1">
      <c r="F473" s="303"/>
      <c r="G473" s="303"/>
      <c r="J473" s="303"/>
      <c r="K473" s="303"/>
      <c r="L473" s="303"/>
      <c r="M473" s="315"/>
      <c r="N473" s="303"/>
      <c r="O473" s="303"/>
      <c r="P473" s="324"/>
      <c r="Q473" s="25"/>
      <c r="R473" s="25"/>
      <c r="S473" s="25"/>
      <c r="T473" s="25"/>
      <c r="U473" s="25"/>
    </row>
    <row r="474" spans="6:21" hidden="1">
      <c r="F474" s="303"/>
      <c r="G474" s="303"/>
      <c r="J474" s="303"/>
      <c r="K474" s="303"/>
      <c r="L474" s="303"/>
      <c r="M474" s="315"/>
      <c r="N474" s="303"/>
      <c r="O474" s="303"/>
      <c r="P474" s="324"/>
      <c r="Q474" s="25"/>
      <c r="R474" s="25"/>
      <c r="S474" s="25"/>
      <c r="T474" s="25"/>
      <c r="U474" s="25"/>
    </row>
    <row r="475" spans="6:21" hidden="1">
      <c r="F475" s="303"/>
      <c r="G475" s="303"/>
      <c r="J475" s="303"/>
      <c r="K475" s="303"/>
      <c r="L475" s="303"/>
      <c r="M475" s="315"/>
      <c r="N475" s="303"/>
      <c r="O475" s="303"/>
      <c r="P475" s="324"/>
      <c r="Q475" s="25"/>
      <c r="R475" s="25"/>
      <c r="S475" s="25"/>
      <c r="T475" s="25"/>
      <c r="U475" s="25"/>
    </row>
    <row r="476" spans="6:21" hidden="1">
      <c r="F476" s="303"/>
      <c r="G476" s="303"/>
      <c r="J476" s="303"/>
      <c r="K476" s="303"/>
      <c r="L476" s="303"/>
      <c r="M476" s="315"/>
      <c r="N476" s="303"/>
      <c r="O476" s="303"/>
      <c r="P476" s="324"/>
      <c r="Q476" s="25"/>
      <c r="R476" s="25"/>
      <c r="S476" s="25"/>
      <c r="T476" s="25"/>
      <c r="U476" s="25"/>
    </row>
    <row r="477" spans="6:21" hidden="1">
      <c r="F477" s="303"/>
      <c r="G477" s="303"/>
      <c r="J477" s="303"/>
      <c r="K477" s="303"/>
      <c r="L477" s="303"/>
      <c r="M477" s="315"/>
      <c r="N477" s="303"/>
      <c r="O477" s="303"/>
      <c r="P477" s="324"/>
      <c r="Q477" s="25"/>
      <c r="R477" s="25"/>
      <c r="S477" s="25"/>
      <c r="T477" s="25"/>
      <c r="U477" s="25"/>
    </row>
    <row r="478" spans="6:21" hidden="1">
      <c r="F478" s="303"/>
      <c r="G478" s="303"/>
      <c r="J478" s="303"/>
      <c r="K478" s="303"/>
      <c r="L478" s="303"/>
      <c r="M478" s="315"/>
      <c r="N478" s="303"/>
      <c r="O478" s="303"/>
      <c r="P478" s="324"/>
      <c r="Q478" s="25"/>
      <c r="R478" s="25"/>
      <c r="S478" s="25"/>
      <c r="T478" s="25"/>
      <c r="U478" s="25"/>
    </row>
    <row r="479" spans="6:21" hidden="1">
      <c r="F479" s="303"/>
      <c r="G479" s="303"/>
      <c r="J479" s="303"/>
      <c r="K479" s="303"/>
      <c r="L479" s="303"/>
      <c r="M479" s="315"/>
      <c r="N479" s="303"/>
      <c r="O479" s="303"/>
      <c r="P479" s="324"/>
      <c r="Q479" s="25"/>
      <c r="R479" s="25"/>
      <c r="S479" s="25"/>
      <c r="T479" s="25"/>
      <c r="U479" s="25"/>
    </row>
    <row r="480" spans="6:21" hidden="1">
      <c r="F480" s="303"/>
      <c r="G480" s="303"/>
      <c r="J480" s="303"/>
      <c r="K480" s="303"/>
      <c r="L480" s="303"/>
      <c r="M480" s="315"/>
      <c r="N480" s="303"/>
      <c r="O480" s="303"/>
      <c r="P480" s="324"/>
      <c r="Q480" s="25"/>
      <c r="R480" s="25"/>
      <c r="S480" s="25"/>
      <c r="T480" s="25"/>
      <c r="U480" s="25"/>
    </row>
    <row r="481" spans="6:21" hidden="1">
      <c r="F481" s="303"/>
      <c r="G481" s="303"/>
      <c r="J481" s="303"/>
      <c r="K481" s="303"/>
      <c r="L481" s="303"/>
      <c r="M481" s="315"/>
      <c r="N481" s="303"/>
      <c r="O481" s="303"/>
      <c r="P481" s="324"/>
      <c r="Q481" s="25"/>
      <c r="R481" s="25"/>
      <c r="S481" s="25"/>
      <c r="T481" s="25"/>
      <c r="U481" s="25"/>
    </row>
    <row r="482" spans="6:21" hidden="1">
      <c r="F482" s="303"/>
      <c r="G482" s="303"/>
      <c r="J482" s="303"/>
      <c r="K482" s="303"/>
      <c r="L482" s="303"/>
      <c r="M482" s="315"/>
      <c r="N482" s="303"/>
      <c r="O482" s="303"/>
      <c r="P482" s="324"/>
      <c r="Q482" s="25"/>
      <c r="R482" s="25"/>
      <c r="S482" s="25"/>
      <c r="T482" s="25"/>
      <c r="U482" s="25"/>
    </row>
    <row r="483" spans="6:21" hidden="1">
      <c r="F483" s="303"/>
      <c r="G483" s="303"/>
      <c r="J483" s="303"/>
      <c r="K483" s="303"/>
      <c r="L483" s="303"/>
      <c r="M483" s="315"/>
      <c r="N483" s="303"/>
      <c r="O483" s="303"/>
      <c r="P483" s="324"/>
      <c r="Q483" s="25"/>
      <c r="R483" s="25"/>
      <c r="S483" s="25"/>
      <c r="T483" s="25"/>
      <c r="U483" s="25"/>
    </row>
    <row r="484" spans="6:21" hidden="1">
      <c r="F484" s="303"/>
      <c r="G484" s="303"/>
      <c r="J484" s="303"/>
      <c r="K484" s="303"/>
      <c r="L484" s="303"/>
      <c r="M484" s="315"/>
      <c r="N484" s="303"/>
      <c r="O484" s="303"/>
      <c r="P484" s="324"/>
      <c r="Q484" s="25"/>
      <c r="R484" s="25"/>
      <c r="S484" s="25"/>
      <c r="T484" s="25"/>
      <c r="U484" s="25"/>
    </row>
    <row r="485" spans="6:21" hidden="1">
      <c r="F485" s="303"/>
      <c r="G485" s="303"/>
      <c r="J485" s="303"/>
      <c r="K485" s="303"/>
      <c r="L485" s="303"/>
      <c r="M485" s="315"/>
      <c r="N485" s="303"/>
      <c r="O485" s="303"/>
      <c r="P485" s="324"/>
      <c r="Q485" s="25"/>
      <c r="R485" s="25"/>
      <c r="S485" s="25"/>
      <c r="T485" s="25"/>
      <c r="U485" s="25"/>
    </row>
    <row r="486" spans="6:21" hidden="1">
      <c r="F486" s="303"/>
      <c r="G486" s="303"/>
      <c r="J486" s="303"/>
      <c r="K486" s="303"/>
      <c r="L486" s="303"/>
      <c r="M486" s="315"/>
      <c r="N486" s="303"/>
      <c r="O486" s="303"/>
      <c r="P486" s="324"/>
      <c r="Q486" s="25"/>
      <c r="R486" s="25"/>
      <c r="S486" s="25"/>
      <c r="T486" s="25"/>
      <c r="U486" s="25"/>
    </row>
    <row r="487" spans="6:21">
      <c r="F487" s="303"/>
      <c r="G487" s="303"/>
      <c r="J487" s="303"/>
      <c r="K487" s="303"/>
      <c r="L487" s="303"/>
      <c r="M487" s="315"/>
      <c r="N487" s="303"/>
      <c r="O487" s="303"/>
      <c r="P487" s="324"/>
      <c r="Q487" s="25"/>
      <c r="R487" s="25"/>
      <c r="S487" s="25"/>
      <c r="T487" s="25"/>
      <c r="U487" s="25"/>
    </row>
    <row r="488" spans="6:21">
      <c r="F488" s="303"/>
      <c r="G488" s="303"/>
      <c r="J488" s="303"/>
      <c r="K488" s="303"/>
      <c r="L488" s="303"/>
      <c r="M488" s="315"/>
      <c r="N488" s="303"/>
      <c r="O488" s="303"/>
      <c r="P488" s="324"/>
      <c r="Q488" s="25"/>
      <c r="R488" s="25"/>
      <c r="S488" s="25"/>
      <c r="T488" s="25"/>
      <c r="U488" s="25"/>
    </row>
    <row r="489" spans="6:21">
      <c r="F489" s="303"/>
      <c r="G489" s="303"/>
      <c r="J489" s="303"/>
      <c r="K489" s="303"/>
      <c r="L489" s="303"/>
      <c r="M489" s="315"/>
      <c r="N489" s="303"/>
      <c r="O489" s="303"/>
      <c r="P489" s="324"/>
      <c r="Q489" s="25"/>
      <c r="R489" s="25"/>
      <c r="S489" s="25"/>
      <c r="T489" s="25"/>
      <c r="U489" s="25"/>
    </row>
    <row r="490" spans="6:21">
      <c r="F490" s="303"/>
      <c r="G490" s="303"/>
      <c r="J490" s="303"/>
      <c r="K490" s="303"/>
      <c r="L490" s="303"/>
      <c r="M490" s="315"/>
      <c r="N490" s="303"/>
      <c r="O490" s="303"/>
      <c r="P490" s="324"/>
      <c r="Q490" s="25"/>
      <c r="R490" s="25"/>
      <c r="S490" s="25"/>
      <c r="T490" s="25"/>
      <c r="U490" s="25"/>
    </row>
    <row r="491" spans="6:21">
      <c r="F491" s="303"/>
      <c r="G491" s="303"/>
      <c r="J491" s="303"/>
      <c r="K491" s="303"/>
      <c r="L491" s="303"/>
      <c r="M491" s="315"/>
      <c r="N491" s="303"/>
      <c r="O491" s="303"/>
      <c r="P491" s="324"/>
      <c r="Q491" s="25"/>
      <c r="R491" s="25"/>
      <c r="S491" s="25"/>
      <c r="T491" s="25"/>
      <c r="U491" s="25"/>
    </row>
    <row r="492" spans="6:21">
      <c r="F492" s="303"/>
      <c r="G492" s="303"/>
      <c r="J492" s="303"/>
      <c r="K492" s="303"/>
      <c r="L492" s="303"/>
      <c r="M492" s="315"/>
      <c r="N492" s="303"/>
      <c r="O492" s="303"/>
      <c r="P492" s="324"/>
      <c r="Q492" s="25"/>
      <c r="R492" s="25"/>
      <c r="S492" s="25"/>
      <c r="T492" s="25"/>
      <c r="U492" s="25"/>
    </row>
    <row r="493" spans="6:21">
      <c r="F493" s="303"/>
      <c r="G493" s="303"/>
      <c r="J493" s="303"/>
      <c r="K493" s="303"/>
      <c r="L493" s="303"/>
      <c r="M493" s="315"/>
      <c r="N493" s="303"/>
      <c r="O493" s="303"/>
      <c r="P493" s="324"/>
      <c r="Q493" s="25"/>
      <c r="R493" s="25"/>
      <c r="S493" s="25"/>
      <c r="T493" s="25"/>
      <c r="U493" s="25"/>
    </row>
    <row r="494" spans="6:21">
      <c r="F494" s="303"/>
      <c r="G494" s="303"/>
      <c r="J494" s="303"/>
      <c r="K494" s="303"/>
      <c r="L494" s="303"/>
      <c r="M494" s="315"/>
      <c r="N494" s="303"/>
      <c r="O494" s="303"/>
      <c r="P494" s="324"/>
      <c r="Q494" s="25"/>
      <c r="R494" s="25"/>
      <c r="S494" s="25"/>
      <c r="T494" s="25"/>
      <c r="U494" s="25"/>
    </row>
    <row r="495" spans="6:21">
      <c r="F495" s="303"/>
      <c r="G495" s="303"/>
      <c r="J495" s="303"/>
      <c r="K495" s="303"/>
      <c r="L495" s="303"/>
      <c r="M495" s="315"/>
      <c r="N495" s="303"/>
      <c r="O495" s="303"/>
      <c r="P495" s="324"/>
      <c r="Q495" s="25"/>
      <c r="R495" s="25"/>
      <c r="S495" s="25"/>
      <c r="T495" s="25"/>
      <c r="U495" s="25"/>
    </row>
    <row r="496" spans="6:21">
      <c r="F496" s="303"/>
      <c r="G496" s="303"/>
      <c r="J496" s="303"/>
      <c r="K496" s="303"/>
      <c r="L496" s="303"/>
      <c r="M496" s="315"/>
      <c r="N496" s="303"/>
      <c r="O496" s="303"/>
      <c r="P496" s="324"/>
      <c r="Q496" s="25"/>
      <c r="R496" s="25"/>
      <c r="S496" s="25"/>
      <c r="T496" s="25"/>
      <c r="U496" s="25"/>
    </row>
    <row r="497" spans="6:21">
      <c r="F497" s="303"/>
      <c r="G497" s="303"/>
      <c r="J497" s="303"/>
      <c r="K497" s="303"/>
      <c r="L497" s="303"/>
      <c r="M497" s="315"/>
      <c r="N497" s="303"/>
      <c r="O497" s="303"/>
      <c r="P497" s="324"/>
      <c r="Q497" s="25"/>
      <c r="R497" s="25"/>
      <c r="S497" s="25"/>
      <c r="T497" s="25"/>
      <c r="U497" s="25"/>
    </row>
    <row r="498" spans="6:21">
      <c r="F498" s="303"/>
      <c r="G498" s="303"/>
      <c r="J498" s="303"/>
      <c r="K498" s="303"/>
      <c r="L498" s="303"/>
      <c r="M498" s="315"/>
      <c r="N498" s="303"/>
      <c r="O498" s="303"/>
      <c r="P498" s="324"/>
      <c r="Q498" s="25"/>
      <c r="R498" s="25"/>
      <c r="S498" s="25"/>
      <c r="T498" s="25"/>
      <c r="U498" s="25"/>
    </row>
    <row r="499" spans="6:21">
      <c r="F499" s="303"/>
      <c r="G499" s="303"/>
      <c r="J499" s="303"/>
      <c r="K499" s="303"/>
      <c r="L499" s="303"/>
      <c r="M499" s="315"/>
      <c r="N499" s="303"/>
      <c r="O499" s="303"/>
      <c r="P499" s="324"/>
      <c r="Q499" s="25"/>
      <c r="R499" s="25"/>
      <c r="S499" s="25"/>
      <c r="T499" s="25"/>
      <c r="U499" s="25"/>
    </row>
    <row r="500" spans="6:21">
      <c r="F500" s="303"/>
      <c r="G500" s="303"/>
      <c r="J500" s="303"/>
      <c r="K500" s="303"/>
      <c r="L500" s="303"/>
      <c r="M500" s="315"/>
      <c r="N500" s="303"/>
      <c r="O500" s="303"/>
      <c r="P500" s="324"/>
      <c r="Q500" s="25"/>
      <c r="R500" s="25"/>
      <c r="S500" s="25"/>
      <c r="T500" s="25"/>
      <c r="U500" s="25"/>
    </row>
    <row r="501" spans="6:21">
      <c r="F501" s="303"/>
      <c r="G501" s="303"/>
      <c r="J501" s="303"/>
      <c r="K501" s="303"/>
      <c r="L501" s="303"/>
      <c r="M501" s="315"/>
      <c r="N501" s="303"/>
      <c r="O501" s="303"/>
      <c r="P501" s="324"/>
      <c r="Q501" s="25"/>
      <c r="R501" s="25"/>
      <c r="S501" s="25"/>
      <c r="T501" s="25"/>
      <c r="U501" s="25"/>
    </row>
    <row r="502" spans="6:21">
      <c r="F502" s="303"/>
      <c r="G502" s="303"/>
      <c r="J502" s="303"/>
      <c r="K502" s="303"/>
      <c r="L502" s="303"/>
      <c r="M502" s="315"/>
      <c r="N502" s="303"/>
      <c r="O502" s="303"/>
      <c r="P502" s="324"/>
      <c r="Q502" s="25"/>
      <c r="R502" s="25"/>
      <c r="S502" s="25"/>
      <c r="T502" s="25"/>
      <c r="U502" s="25"/>
    </row>
    <row r="503" spans="6:21">
      <c r="F503" s="303"/>
      <c r="G503" s="303"/>
      <c r="J503" s="303"/>
      <c r="K503" s="303"/>
      <c r="L503" s="303"/>
      <c r="M503" s="315"/>
      <c r="N503" s="303"/>
      <c r="O503" s="303"/>
      <c r="P503" s="324"/>
      <c r="Q503" s="25"/>
      <c r="R503" s="25"/>
      <c r="S503" s="25"/>
      <c r="T503" s="25"/>
      <c r="U503" s="25"/>
    </row>
    <row r="504" spans="6:21">
      <c r="F504" s="303"/>
      <c r="G504" s="303"/>
      <c r="J504" s="303"/>
      <c r="K504" s="303"/>
      <c r="L504" s="303"/>
      <c r="M504" s="315"/>
      <c r="N504" s="303"/>
      <c r="O504" s="303"/>
      <c r="P504" s="324"/>
      <c r="Q504" s="25"/>
      <c r="R504" s="25"/>
      <c r="S504" s="25"/>
      <c r="T504" s="25"/>
      <c r="U504" s="25"/>
    </row>
    <row r="505" spans="6:21">
      <c r="F505" s="303"/>
      <c r="G505" s="303"/>
      <c r="J505" s="303"/>
      <c r="K505" s="303"/>
      <c r="L505" s="303"/>
      <c r="M505" s="315"/>
      <c r="N505" s="303"/>
      <c r="O505" s="303"/>
      <c r="P505" s="324"/>
      <c r="Q505" s="25"/>
      <c r="R505" s="25"/>
      <c r="S505" s="25"/>
      <c r="T505" s="25"/>
      <c r="U505" s="25"/>
    </row>
    <row r="506" spans="6:21">
      <c r="F506" s="303"/>
      <c r="G506" s="303"/>
      <c r="J506" s="303"/>
      <c r="K506" s="303"/>
      <c r="L506" s="303"/>
      <c r="M506" s="315"/>
      <c r="N506" s="303"/>
      <c r="O506" s="303"/>
      <c r="P506" s="324"/>
      <c r="Q506" s="25"/>
      <c r="R506" s="25"/>
      <c r="S506" s="25"/>
      <c r="T506" s="25"/>
      <c r="U506" s="25"/>
    </row>
    <row r="507" spans="6:21">
      <c r="F507" s="303"/>
      <c r="G507" s="303"/>
      <c r="J507" s="303"/>
      <c r="K507" s="303"/>
      <c r="L507" s="303"/>
      <c r="M507" s="315"/>
      <c r="N507" s="303"/>
      <c r="O507" s="303"/>
      <c r="P507" s="324"/>
      <c r="Q507" s="25"/>
      <c r="R507" s="25"/>
      <c r="S507" s="25"/>
      <c r="T507" s="25"/>
      <c r="U507" s="25"/>
    </row>
    <row r="508" spans="6:21">
      <c r="F508" s="303"/>
      <c r="G508" s="303"/>
      <c r="J508" s="303"/>
      <c r="K508" s="303"/>
      <c r="L508" s="303"/>
      <c r="M508" s="315"/>
      <c r="N508" s="303"/>
      <c r="O508" s="303"/>
      <c r="P508" s="324"/>
      <c r="Q508" s="25"/>
      <c r="R508" s="25"/>
      <c r="S508" s="25"/>
      <c r="T508" s="25"/>
      <c r="U508" s="25"/>
    </row>
    <row r="509" spans="6:21">
      <c r="F509" s="303"/>
      <c r="G509" s="303"/>
      <c r="J509" s="303"/>
      <c r="K509" s="303"/>
      <c r="L509" s="303"/>
      <c r="M509" s="315"/>
      <c r="N509" s="303"/>
      <c r="O509" s="303"/>
      <c r="P509" s="324"/>
      <c r="Q509" s="25"/>
      <c r="R509" s="25"/>
      <c r="S509" s="25"/>
      <c r="T509" s="25"/>
      <c r="U509" s="25"/>
    </row>
    <row r="510" spans="6:21">
      <c r="F510" s="303"/>
      <c r="G510" s="303"/>
      <c r="J510" s="303"/>
      <c r="K510" s="303"/>
      <c r="L510" s="303"/>
      <c r="M510" s="315"/>
      <c r="N510" s="303"/>
      <c r="O510" s="303"/>
      <c r="P510" s="324"/>
      <c r="Q510" s="25"/>
      <c r="R510" s="25"/>
      <c r="S510" s="25"/>
      <c r="T510" s="25"/>
      <c r="U510" s="25"/>
    </row>
    <row r="511" spans="6:21">
      <c r="F511" s="303"/>
      <c r="G511" s="303"/>
      <c r="J511" s="303"/>
      <c r="K511" s="303"/>
      <c r="L511" s="303"/>
      <c r="M511" s="315"/>
      <c r="N511" s="303"/>
      <c r="O511" s="303"/>
      <c r="P511" s="324"/>
      <c r="Q511" s="25"/>
      <c r="R511" s="25"/>
      <c r="S511" s="25"/>
      <c r="T511" s="25"/>
      <c r="U511" s="25"/>
    </row>
    <row r="512" spans="6:21">
      <c r="F512" s="303"/>
      <c r="G512" s="303"/>
      <c r="J512" s="303"/>
      <c r="K512" s="303"/>
      <c r="L512" s="303"/>
      <c r="M512" s="315"/>
      <c r="N512" s="303"/>
      <c r="O512" s="303"/>
      <c r="P512" s="324"/>
      <c r="Q512" s="25"/>
      <c r="R512" s="25"/>
      <c r="S512" s="25"/>
      <c r="T512" s="25"/>
      <c r="U512" s="25"/>
    </row>
    <row r="513" spans="6:21">
      <c r="F513" s="303"/>
      <c r="G513" s="303"/>
      <c r="J513" s="303"/>
      <c r="K513" s="303"/>
      <c r="L513" s="303"/>
      <c r="M513" s="315"/>
      <c r="N513" s="303"/>
      <c r="O513" s="303"/>
      <c r="P513" s="324"/>
      <c r="Q513" s="25"/>
      <c r="R513" s="25"/>
      <c r="S513" s="25"/>
      <c r="T513" s="25"/>
      <c r="U513" s="25"/>
    </row>
    <row r="514" spans="6:21">
      <c r="F514" s="303"/>
      <c r="G514" s="303"/>
      <c r="J514" s="303"/>
      <c r="K514" s="303"/>
      <c r="L514" s="303"/>
      <c r="M514" s="315"/>
      <c r="N514" s="303"/>
      <c r="O514" s="303"/>
      <c r="P514" s="324"/>
      <c r="Q514" s="25"/>
      <c r="R514" s="25"/>
      <c r="S514" s="25"/>
      <c r="T514" s="25"/>
      <c r="U514" s="25"/>
    </row>
    <row r="515" spans="6:21">
      <c r="F515" s="303"/>
      <c r="G515" s="303"/>
      <c r="J515" s="303"/>
      <c r="K515" s="303"/>
      <c r="L515" s="303"/>
      <c r="M515" s="315"/>
      <c r="N515" s="303"/>
      <c r="O515" s="303"/>
      <c r="P515" s="324"/>
      <c r="Q515" s="25"/>
      <c r="R515" s="25"/>
      <c r="S515" s="25"/>
      <c r="T515" s="25"/>
      <c r="U515" s="25"/>
    </row>
    <row r="516" spans="6:21">
      <c r="F516" s="303"/>
      <c r="G516" s="303"/>
      <c r="J516" s="303"/>
      <c r="K516" s="303"/>
      <c r="L516" s="303"/>
      <c r="M516" s="315"/>
      <c r="N516" s="303"/>
      <c r="O516" s="303"/>
      <c r="P516" s="324"/>
      <c r="Q516" s="25"/>
      <c r="R516" s="25"/>
      <c r="S516" s="25"/>
      <c r="T516" s="25"/>
      <c r="U516" s="25"/>
    </row>
    <row r="517" spans="6:21">
      <c r="F517" s="303"/>
      <c r="G517" s="303"/>
      <c r="J517" s="303"/>
      <c r="K517" s="303"/>
      <c r="L517" s="303"/>
      <c r="M517" s="315"/>
      <c r="N517" s="303"/>
      <c r="O517" s="303"/>
      <c r="P517" s="324"/>
      <c r="Q517" s="25"/>
      <c r="R517" s="25"/>
      <c r="S517" s="25"/>
      <c r="T517" s="25"/>
      <c r="U517" s="25"/>
    </row>
    <row r="518" spans="6:21">
      <c r="F518" s="303"/>
      <c r="G518" s="303"/>
      <c r="J518" s="303"/>
      <c r="K518" s="303"/>
      <c r="L518" s="303"/>
      <c r="M518" s="315"/>
      <c r="N518" s="303"/>
      <c r="O518" s="303"/>
      <c r="P518" s="324"/>
      <c r="Q518" s="25"/>
      <c r="R518" s="25"/>
      <c r="S518" s="25"/>
      <c r="T518" s="25"/>
      <c r="U518" s="25"/>
    </row>
    <row r="519" spans="6:21">
      <c r="F519" s="303"/>
      <c r="G519" s="303"/>
      <c r="J519" s="303"/>
      <c r="K519" s="303"/>
      <c r="L519" s="303"/>
      <c r="M519" s="315"/>
      <c r="N519" s="303"/>
      <c r="O519" s="303"/>
      <c r="P519" s="324"/>
      <c r="Q519" s="25"/>
      <c r="R519" s="25"/>
      <c r="S519" s="25"/>
      <c r="T519" s="25"/>
      <c r="U519" s="25"/>
    </row>
    <row r="520" spans="6:21">
      <c r="F520" s="303"/>
      <c r="G520" s="303"/>
      <c r="J520" s="303"/>
      <c r="K520" s="303"/>
      <c r="L520" s="303"/>
      <c r="M520" s="315"/>
      <c r="N520" s="303"/>
      <c r="O520" s="303"/>
      <c r="P520" s="324"/>
      <c r="Q520" s="25"/>
      <c r="R520" s="25"/>
      <c r="S520" s="25"/>
      <c r="T520" s="25"/>
      <c r="U520" s="25"/>
    </row>
    <row r="521" spans="6:21">
      <c r="F521" s="303"/>
      <c r="G521" s="303"/>
      <c r="J521" s="303"/>
      <c r="K521" s="303"/>
      <c r="L521" s="303"/>
      <c r="M521" s="315"/>
      <c r="N521" s="303"/>
      <c r="O521" s="303"/>
      <c r="P521" s="324"/>
      <c r="Q521" s="25"/>
      <c r="R521" s="25"/>
      <c r="S521" s="25"/>
      <c r="T521" s="25"/>
      <c r="U521" s="25"/>
    </row>
    <row r="522" spans="6:21">
      <c r="F522" s="303"/>
      <c r="G522" s="303"/>
      <c r="J522" s="303"/>
      <c r="K522" s="303"/>
      <c r="L522" s="303"/>
      <c r="M522" s="315"/>
      <c r="N522" s="303"/>
      <c r="O522" s="303"/>
      <c r="P522" s="324"/>
      <c r="Q522" s="25"/>
      <c r="R522" s="25"/>
      <c r="S522" s="25"/>
      <c r="T522" s="25"/>
      <c r="U522" s="25"/>
    </row>
    <row r="523" spans="6:21">
      <c r="F523" s="303"/>
      <c r="G523" s="303"/>
      <c r="J523" s="303"/>
      <c r="K523" s="303"/>
      <c r="L523" s="303"/>
      <c r="M523" s="315"/>
      <c r="N523" s="303"/>
      <c r="O523" s="303"/>
      <c r="P523" s="324"/>
      <c r="Q523" s="25"/>
      <c r="R523" s="25"/>
      <c r="S523" s="25"/>
      <c r="T523" s="25"/>
      <c r="U523" s="25"/>
    </row>
    <row r="524" spans="6:21">
      <c r="F524" s="303"/>
      <c r="G524" s="303"/>
      <c r="J524" s="303"/>
      <c r="K524" s="303"/>
      <c r="L524" s="303"/>
      <c r="M524" s="315"/>
      <c r="N524" s="303"/>
      <c r="O524" s="303"/>
      <c r="P524" s="324"/>
      <c r="Q524" s="25"/>
      <c r="R524" s="25"/>
      <c r="S524" s="25"/>
      <c r="T524" s="25"/>
      <c r="U524" s="25"/>
    </row>
    <row r="525" spans="6:21">
      <c r="F525" s="303"/>
      <c r="G525" s="303"/>
      <c r="J525" s="303"/>
      <c r="K525" s="303"/>
      <c r="L525" s="303"/>
      <c r="M525" s="315"/>
      <c r="N525" s="303"/>
      <c r="O525" s="303"/>
      <c r="P525" s="324"/>
      <c r="Q525" s="25"/>
      <c r="R525" s="25"/>
      <c r="S525" s="25"/>
      <c r="T525" s="25"/>
      <c r="U525" s="25"/>
    </row>
    <row r="526" spans="6:21">
      <c r="F526" s="303"/>
      <c r="G526" s="303"/>
      <c r="J526" s="303"/>
      <c r="K526" s="303"/>
      <c r="L526" s="303"/>
      <c r="M526" s="315"/>
      <c r="N526" s="303"/>
      <c r="O526" s="303"/>
      <c r="P526" s="324"/>
      <c r="Q526" s="25"/>
      <c r="R526" s="25"/>
      <c r="S526" s="25"/>
      <c r="T526" s="25"/>
      <c r="U526" s="25"/>
    </row>
    <row r="527" spans="6:21">
      <c r="F527" s="303"/>
      <c r="G527" s="303"/>
      <c r="J527" s="303"/>
      <c r="K527" s="303"/>
      <c r="L527" s="303"/>
      <c r="M527" s="315"/>
      <c r="N527" s="303"/>
      <c r="O527" s="303"/>
      <c r="P527" s="324"/>
      <c r="Q527" s="25"/>
      <c r="R527" s="25"/>
      <c r="S527" s="25"/>
      <c r="T527" s="25"/>
      <c r="U527" s="25"/>
    </row>
    <row r="528" spans="6:21">
      <c r="F528" s="303"/>
      <c r="G528" s="303"/>
      <c r="J528" s="303"/>
      <c r="K528" s="303"/>
      <c r="L528" s="303"/>
      <c r="M528" s="315"/>
      <c r="N528" s="303"/>
      <c r="O528" s="303"/>
      <c r="P528" s="324"/>
      <c r="Q528" s="25"/>
      <c r="R528" s="25"/>
      <c r="S528" s="25"/>
      <c r="T528" s="25"/>
      <c r="U528" s="25"/>
    </row>
    <row r="529" spans="6:21">
      <c r="F529" s="303"/>
      <c r="G529" s="303"/>
      <c r="J529" s="303"/>
      <c r="K529" s="303"/>
      <c r="L529" s="303"/>
      <c r="M529" s="315"/>
      <c r="N529" s="303"/>
      <c r="O529" s="303"/>
      <c r="P529" s="324"/>
      <c r="Q529" s="25"/>
      <c r="R529" s="25"/>
      <c r="S529" s="25"/>
      <c r="T529" s="25"/>
      <c r="U529" s="25"/>
    </row>
    <row r="530" spans="6:21">
      <c r="F530" s="303"/>
      <c r="G530" s="303"/>
      <c r="J530" s="303"/>
      <c r="K530" s="303"/>
      <c r="L530" s="303"/>
      <c r="M530" s="315"/>
      <c r="N530" s="303"/>
      <c r="O530" s="303"/>
      <c r="P530" s="324"/>
      <c r="Q530" s="25"/>
      <c r="R530" s="25"/>
      <c r="S530" s="25"/>
      <c r="T530" s="25"/>
      <c r="U530" s="25"/>
    </row>
    <row r="531" spans="6:21">
      <c r="F531" s="303"/>
      <c r="G531" s="303"/>
      <c r="J531" s="303"/>
      <c r="K531" s="303"/>
      <c r="L531" s="303"/>
      <c r="M531" s="315"/>
      <c r="N531" s="303"/>
      <c r="O531" s="303"/>
      <c r="P531" s="324"/>
      <c r="Q531" s="25"/>
      <c r="R531" s="25"/>
      <c r="S531" s="25"/>
      <c r="T531" s="25"/>
      <c r="U531" s="25"/>
    </row>
    <row r="532" spans="6:21">
      <c r="F532" s="303"/>
      <c r="G532" s="303"/>
      <c r="J532" s="303"/>
      <c r="K532" s="303"/>
      <c r="L532" s="303"/>
      <c r="M532" s="315"/>
      <c r="N532" s="303"/>
      <c r="O532" s="303"/>
      <c r="P532" s="324"/>
      <c r="Q532" s="25"/>
      <c r="R532" s="25"/>
      <c r="S532" s="25"/>
      <c r="T532" s="25"/>
      <c r="U532" s="25"/>
    </row>
    <row r="533" spans="6:21">
      <c r="F533" s="303"/>
      <c r="G533" s="303"/>
      <c r="J533" s="303"/>
      <c r="K533" s="303"/>
      <c r="L533" s="303"/>
      <c r="M533" s="315"/>
      <c r="N533" s="303"/>
      <c r="O533" s="303"/>
      <c r="P533" s="324"/>
      <c r="Q533" s="25"/>
      <c r="R533" s="25"/>
      <c r="S533" s="25"/>
      <c r="T533" s="25"/>
      <c r="U533" s="25"/>
    </row>
    <row r="534" spans="6:21">
      <c r="F534" s="303"/>
      <c r="G534" s="303"/>
      <c r="J534" s="303"/>
      <c r="K534" s="303"/>
      <c r="L534" s="303"/>
      <c r="M534" s="315"/>
      <c r="N534" s="303"/>
      <c r="O534" s="303"/>
      <c r="P534" s="324"/>
      <c r="Q534" s="25"/>
      <c r="R534" s="25"/>
      <c r="S534" s="25"/>
      <c r="T534" s="25"/>
      <c r="U534" s="25"/>
    </row>
    <row r="535" spans="6:21">
      <c r="F535" s="303"/>
      <c r="G535" s="303"/>
      <c r="J535" s="303"/>
      <c r="K535" s="303"/>
      <c r="L535" s="303"/>
      <c r="M535" s="315"/>
      <c r="N535" s="303"/>
      <c r="O535" s="303"/>
      <c r="P535" s="324"/>
      <c r="Q535" s="25"/>
      <c r="R535" s="25"/>
      <c r="S535" s="25"/>
      <c r="T535" s="25"/>
      <c r="U535" s="25"/>
    </row>
    <row r="536" spans="6:21">
      <c r="F536" s="303"/>
      <c r="G536" s="303"/>
      <c r="J536" s="303"/>
      <c r="K536" s="303"/>
      <c r="L536" s="303"/>
      <c r="M536" s="315"/>
      <c r="N536" s="303"/>
      <c r="O536" s="303"/>
      <c r="P536" s="324"/>
      <c r="Q536" s="25"/>
      <c r="R536" s="25"/>
      <c r="S536" s="25"/>
      <c r="T536" s="25"/>
      <c r="U536" s="25"/>
    </row>
    <row r="537" spans="6:21">
      <c r="F537" s="303"/>
      <c r="G537" s="303"/>
      <c r="J537" s="303"/>
      <c r="K537" s="303"/>
      <c r="L537" s="303"/>
      <c r="M537" s="315"/>
      <c r="N537" s="303"/>
      <c r="O537" s="303"/>
      <c r="P537" s="324"/>
      <c r="Q537" s="25"/>
      <c r="R537" s="25"/>
      <c r="S537" s="25"/>
      <c r="T537" s="25"/>
      <c r="U537" s="25"/>
    </row>
    <row r="538" spans="6:21">
      <c r="F538" s="303"/>
      <c r="G538" s="303"/>
      <c r="J538" s="303"/>
      <c r="K538" s="303"/>
      <c r="L538" s="303"/>
      <c r="M538" s="315"/>
      <c r="N538" s="303"/>
      <c r="O538" s="303"/>
      <c r="P538" s="324"/>
      <c r="Q538" s="25"/>
      <c r="R538" s="25"/>
      <c r="S538" s="25"/>
      <c r="T538" s="25"/>
      <c r="U538" s="25"/>
    </row>
    <row r="539" spans="6:21">
      <c r="F539" s="303"/>
      <c r="G539" s="303"/>
      <c r="J539" s="303"/>
      <c r="K539" s="303"/>
      <c r="L539" s="303"/>
      <c r="M539" s="315"/>
      <c r="N539" s="303"/>
      <c r="O539" s="303"/>
      <c r="P539" s="324"/>
      <c r="Q539" s="25"/>
      <c r="R539" s="25"/>
      <c r="S539" s="25"/>
      <c r="T539" s="25"/>
      <c r="U539" s="25"/>
    </row>
    <row r="540" spans="6:21">
      <c r="F540" s="303"/>
      <c r="G540" s="303"/>
      <c r="J540" s="303"/>
      <c r="K540" s="303"/>
      <c r="L540" s="303"/>
      <c r="M540" s="315"/>
      <c r="N540" s="303"/>
      <c r="O540" s="303"/>
      <c r="P540" s="324"/>
      <c r="Q540" s="25"/>
      <c r="R540" s="25"/>
      <c r="S540" s="25"/>
      <c r="T540" s="25"/>
      <c r="U540" s="25"/>
    </row>
    <row r="541" spans="6:21">
      <c r="F541" s="303"/>
      <c r="G541" s="303"/>
      <c r="J541" s="303"/>
      <c r="K541" s="303"/>
      <c r="L541" s="303"/>
      <c r="M541" s="315"/>
      <c r="N541" s="303"/>
      <c r="O541" s="303"/>
      <c r="P541" s="324"/>
      <c r="Q541" s="25"/>
      <c r="R541" s="25"/>
      <c r="S541" s="25"/>
      <c r="T541" s="25"/>
      <c r="U541" s="25"/>
    </row>
    <row r="542" spans="6:21">
      <c r="F542" s="303"/>
      <c r="G542" s="303"/>
      <c r="J542" s="303"/>
      <c r="K542" s="303"/>
      <c r="L542" s="303"/>
      <c r="M542" s="315"/>
      <c r="N542" s="303"/>
      <c r="O542" s="303"/>
      <c r="P542" s="324"/>
      <c r="Q542" s="25"/>
      <c r="R542" s="25"/>
      <c r="S542" s="25"/>
      <c r="T542" s="25"/>
      <c r="U542" s="25"/>
    </row>
    <row r="543" spans="6:21">
      <c r="F543" s="303"/>
      <c r="G543" s="303"/>
      <c r="J543" s="303"/>
      <c r="K543" s="303"/>
      <c r="L543" s="303"/>
      <c r="M543" s="315"/>
      <c r="N543" s="303"/>
      <c r="O543" s="303"/>
      <c r="P543" s="324"/>
      <c r="Q543" s="25"/>
      <c r="R543" s="25"/>
      <c r="S543" s="25"/>
      <c r="T543" s="25"/>
      <c r="U543" s="25"/>
    </row>
    <row r="544" spans="6:21">
      <c r="F544" s="303"/>
      <c r="G544" s="303"/>
      <c r="J544" s="303"/>
      <c r="K544" s="303"/>
      <c r="L544" s="303"/>
      <c r="M544" s="315"/>
      <c r="N544" s="303"/>
      <c r="O544" s="303"/>
      <c r="P544" s="324"/>
      <c r="Q544" s="25"/>
      <c r="R544" s="25"/>
      <c r="S544" s="25"/>
      <c r="T544" s="25"/>
      <c r="U544" s="25"/>
    </row>
    <row r="545" spans="6:21">
      <c r="F545" s="303"/>
      <c r="G545" s="303"/>
      <c r="J545" s="303"/>
      <c r="K545" s="303"/>
      <c r="L545" s="303"/>
      <c r="M545" s="315"/>
      <c r="N545" s="303"/>
      <c r="O545" s="303"/>
      <c r="P545" s="324"/>
      <c r="Q545" s="25"/>
      <c r="R545" s="25"/>
      <c r="S545" s="25"/>
      <c r="T545" s="25"/>
      <c r="U545" s="25"/>
    </row>
    <row r="546" spans="6:21">
      <c r="F546" s="303"/>
      <c r="G546" s="303"/>
      <c r="J546" s="303"/>
      <c r="K546" s="303"/>
      <c r="L546" s="303"/>
      <c r="M546" s="315"/>
      <c r="N546" s="303"/>
      <c r="O546" s="303"/>
      <c r="P546" s="324"/>
      <c r="Q546" s="25"/>
      <c r="R546" s="25"/>
      <c r="S546" s="25"/>
      <c r="T546" s="25"/>
      <c r="U546" s="25"/>
    </row>
    <row r="547" spans="6:21">
      <c r="F547" s="303"/>
      <c r="G547" s="303"/>
      <c r="J547" s="303"/>
      <c r="K547" s="303"/>
      <c r="L547" s="303"/>
      <c r="M547" s="315"/>
      <c r="N547" s="303"/>
      <c r="O547" s="303"/>
      <c r="P547" s="324"/>
      <c r="Q547" s="25"/>
      <c r="R547" s="25"/>
      <c r="S547" s="25"/>
      <c r="T547" s="25"/>
      <c r="U547" s="25"/>
    </row>
    <row r="548" spans="6:21">
      <c r="F548" s="303"/>
      <c r="G548" s="303"/>
      <c r="J548" s="303"/>
      <c r="K548" s="303"/>
      <c r="L548" s="303"/>
      <c r="M548" s="315"/>
      <c r="N548" s="303"/>
      <c r="O548" s="303"/>
      <c r="P548" s="324"/>
      <c r="Q548" s="25"/>
      <c r="R548" s="25"/>
      <c r="S548" s="25"/>
      <c r="T548" s="25"/>
      <c r="U548" s="25"/>
    </row>
    <row r="549" spans="6:21">
      <c r="F549" s="303"/>
      <c r="G549" s="303"/>
      <c r="J549" s="303"/>
      <c r="K549" s="303"/>
      <c r="L549" s="303"/>
      <c r="M549" s="315"/>
      <c r="N549" s="303"/>
      <c r="O549" s="303"/>
      <c r="P549" s="324"/>
      <c r="Q549" s="25"/>
      <c r="R549" s="25"/>
      <c r="S549" s="25"/>
      <c r="T549" s="25"/>
      <c r="U549" s="25"/>
    </row>
    <row r="550" spans="6:21">
      <c r="F550" s="303"/>
      <c r="G550" s="303"/>
      <c r="J550" s="303"/>
      <c r="K550" s="303"/>
      <c r="L550" s="303"/>
      <c r="M550" s="315"/>
      <c r="N550" s="303"/>
      <c r="O550" s="303"/>
      <c r="P550" s="324"/>
      <c r="Q550" s="25"/>
      <c r="R550" s="25"/>
      <c r="S550" s="25"/>
      <c r="T550" s="25"/>
      <c r="U550" s="25"/>
    </row>
    <row r="551" spans="6:21">
      <c r="F551" s="303"/>
      <c r="K551" s="324"/>
      <c r="L551" s="303"/>
      <c r="M551" s="303"/>
      <c r="N551" s="303"/>
      <c r="O551" s="303"/>
      <c r="P551" s="303"/>
      <c r="Q551" s="25"/>
      <c r="R551" s="25"/>
      <c r="S551" s="25"/>
      <c r="T551" s="25"/>
      <c r="U551" s="25"/>
    </row>
    <row r="552" spans="6:21">
      <c r="F552" s="303"/>
      <c r="K552" s="324"/>
      <c r="L552" s="303"/>
      <c r="M552" s="303"/>
      <c r="N552" s="303"/>
      <c r="O552" s="303"/>
      <c r="P552" s="303"/>
      <c r="Q552" s="25"/>
      <c r="R552" s="25"/>
      <c r="S552" s="25"/>
      <c r="T552" s="25"/>
      <c r="U552" s="25"/>
    </row>
    <row r="553" spans="6:21">
      <c r="F553" s="303"/>
      <c r="K553" s="324"/>
      <c r="L553" s="303"/>
      <c r="M553" s="303"/>
      <c r="N553" s="303"/>
      <c r="O553" s="303"/>
      <c r="P553" s="303"/>
      <c r="Q553" s="25"/>
      <c r="R553" s="25"/>
      <c r="S553" s="25"/>
      <c r="T553" s="25"/>
      <c r="U553" s="25"/>
    </row>
    <row r="554" spans="6:21">
      <c r="F554" s="303"/>
      <c r="K554" s="324"/>
      <c r="L554" s="303"/>
      <c r="M554" s="303"/>
      <c r="N554" s="303"/>
      <c r="O554" s="303"/>
      <c r="P554" s="303"/>
      <c r="Q554" s="25"/>
      <c r="R554" s="25"/>
      <c r="S554" s="25"/>
      <c r="T554" s="25"/>
      <c r="U554" s="25"/>
    </row>
    <row r="555" spans="6:21">
      <c r="F555" s="303"/>
      <c r="K555" s="324"/>
      <c r="L555" s="303"/>
      <c r="M555" s="303"/>
      <c r="N555" s="303"/>
      <c r="O555" s="303"/>
      <c r="P555" s="303"/>
      <c r="Q555" s="25"/>
      <c r="R555" s="25"/>
      <c r="S555" s="25"/>
      <c r="T555" s="25"/>
      <c r="U555" s="25"/>
    </row>
    <row r="556" spans="6:21">
      <c r="F556" s="303"/>
      <c r="K556" s="324"/>
      <c r="L556" s="303"/>
      <c r="M556" s="303"/>
      <c r="N556" s="303"/>
      <c r="O556" s="303"/>
      <c r="P556" s="303"/>
      <c r="Q556" s="25"/>
      <c r="R556" s="25"/>
      <c r="S556" s="25"/>
      <c r="T556" s="25"/>
      <c r="U556" s="25"/>
    </row>
    <row r="557" spans="6:21">
      <c r="F557" s="303"/>
      <c r="K557" s="324"/>
      <c r="L557" s="303"/>
      <c r="M557" s="303"/>
      <c r="N557" s="303"/>
      <c r="O557" s="303"/>
      <c r="P557" s="303"/>
      <c r="Q557" s="25"/>
      <c r="R557" s="25"/>
      <c r="S557" s="25"/>
      <c r="T557" s="25"/>
      <c r="U557" s="25"/>
    </row>
    <row r="558" spans="6:21">
      <c r="F558" s="303"/>
      <c r="K558" s="324"/>
      <c r="L558" s="303"/>
      <c r="M558" s="303"/>
      <c r="N558" s="303"/>
      <c r="O558" s="303"/>
      <c r="P558" s="303"/>
      <c r="Q558" s="25"/>
      <c r="R558" s="25"/>
      <c r="S558" s="25"/>
      <c r="T558" s="25"/>
      <c r="U558" s="25"/>
    </row>
    <row r="559" spans="6:21">
      <c r="F559" s="303"/>
      <c r="K559" s="324"/>
      <c r="L559" s="303"/>
      <c r="M559" s="303"/>
      <c r="N559" s="303"/>
      <c r="O559" s="303"/>
      <c r="P559" s="303"/>
      <c r="Q559" s="25"/>
      <c r="R559" s="25"/>
      <c r="S559" s="25"/>
      <c r="T559" s="25"/>
      <c r="U559" s="25"/>
    </row>
    <row r="560" spans="6:21">
      <c r="F560" s="303"/>
      <c r="G560" s="303"/>
      <c r="J560" s="303"/>
      <c r="K560" s="324"/>
      <c r="L560" s="303"/>
      <c r="M560" s="303"/>
      <c r="N560" s="303"/>
      <c r="O560" s="303"/>
      <c r="P560" s="303"/>
      <c r="Q560" s="25"/>
      <c r="R560" s="25"/>
      <c r="S560" s="25"/>
      <c r="T560" s="25"/>
      <c r="U560" s="25"/>
    </row>
    <row r="561" spans="6:21">
      <c r="F561" s="303"/>
      <c r="G561" s="303"/>
      <c r="J561" s="303"/>
      <c r="K561" s="324"/>
      <c r="L561" s="303"/>
      <c r="M561" s="303"/>
      <c r="N561" s="303"/>
      <c r="O561" s="303"/>
      <c r="P561" s="303"/>
      <c r="Q561" s="25"/>
      <c r="R561" s="25"/>
      <c r="S561" s="25"/>
      <c r="T561" s="25"/>
      <c r="U561" s="25"/>
    </row>
    <row r="562" spans="6:21">
      <c r="F562" s="303"/>
      <c r="G562" s="303"/>
      <c r="J562" s="303"/>
      <c r="K562" s="324"/>
      <c r="L562" s="303"/>
      <c r="M562" s="303"/>
      <c r="N562" s="303"/>
      <c r="O562" s="303"/>
      <c r="P562" s="303"/>
      <c r="Q562" s="25"/>
      <c r="R562" s="25"/>
      <c r="S562" s="25"/>
      <c r="T562" s="25"/>
      <c r="U562" s="25"/>
    </row>
    <row r="563" spans="6:21">
      <c r="F563" s="303"/>
      <c r="G563" s="303"/>
      <c r="J563" s="303"/>
      <c r="K563" s="324"/>
      <c r="L563" s="303"/>
      <c r="M563" s="303"/>
      <c r="N563" s="303"/>
      <c r="O563" s="303"/>
      <c r="P563" s="303"/>
      <c r="Q563" s="25"/>
      <c r="R563" s="25"/>
      <c r="S563" s="25"/>
      <c r="T563" s="25"/>
      <c r="U563" s="25"/>
    </row>
    <row r="564" spans="6:21">
      <c r="F564" s="303"/>
      <c r="G564" s="303"/>
      <c r="J564" s="303"/>
      <c r="K564" s="324"/>
      <c r="L564" s="303"/>
      <c r="M564" s="303"/>
      <c r="N564" s="303"/>
      <c r="O564" s="303"/>
      <c r="P564" s="303"/>
      <c r="Q564" s="25"/>
      <c r="R564" s="25"/>
      <c r="S564" s="25"/>
      <c r="T564" s="25"/>
      <c r="U564" s="25"/>
    </row>
    <row r="565" spans="6:21">
      <c r="F565" s="303"/>
      <c r="G565" s="303"/>
      <c r="J565" s="303"/>
      <c r="K565" s="324"/>
      <c r="L565" s="303"/>
      <c r="M565" s="303"/>
      <c r="N565" s="303"/>
      <c r="O565" s="303"/>
      <c r="P565" s="303"/>
      <c r="Q565" s="25"/>
      <c r="R565" s="25"/>
      <c r="S565" s="25"/>
      <c r="T565" s="25"/>
      <c r="U565" s="25"/>
    </row>
    <row r="566" spans="6:21">
      <c r="F566" s="303"/>
      <c r="G566" s="303"/>
      <c r="J566" s="303"/>
      <c r="K566" s="324"/>
      <c r="L566" s="303"/>
      <c r="M566" s="303"/>
      <c r="N566" s="303"/>
      <c r="O566" s="303"/>
      <c r="P566" s="303"/>
      <c r="Q566" s="25"/>
      <c r="R566" s="25"/>
      <c r="S566" s="25"/>
      <c r="T566" s="25"/>
      <c r="U566" s="25"/>
    </row>
    <row r="567" spans="6:21">
      <c r="F567" s="303"/>
      <c r="G567" s="303"/>
      <c r="J567" s="303"/>
      <c r="K567" s="324"/>
      <c r="L567" s="303"/>
      <c r="M567" s="303"/>
      <c r="N567" s="303"/>
      <c r="O567" s="303"/>
      <c r="P567" s="303"/>
      <c r="Q567" s="25"/>
      <c r="R567" s="25"/>
      <c r="S567" s="25"/>
      <c r="T567" s="25"/>
      <c r="U567" s="25"/>
    </row>
    <row r="568" spans="6:21">
      <c r="F568" s="303"/>
      <c r="G568" s="303"/>
      <c r="J568" s="303"/>
      <c r="K568" s="324"/>
      <c r="L568" s="303"/>
      <c r="M568" s="303"/>
      <c r="N568" s="303"/>
      <c r="O568" s="303"/>
      <c r="P568" s="303"/>
      <c r="Q568" s="25"/>
      <c r="R568" s="25"/>
      <c r="S568" s="25"/>
      <c r="T568" s="25"/>
      <c r="U568" s="25"/>
    </row>
    <row r="569" spans="6:21">
      <c r="F569" s="303"/>
      <c r="G569" s="303"/>
      <c r="J569" s="303"/>
      <c r="K569" s="324"/>
      <c r="L569" s="303"/>
      <c r="M569" s="303"/>
      <c r="N569" s="303"/>
      <c r="O569" s="303"/>
      <c r="P569" s="303"/>
      <c r="Q569" s="25"/>
      <c r="R569" s="25"/>
      <c r="S569" s="25"/>
      <c r="T569" s="25"/>
      <c r="U569" s="25"/>
    </row>
    <row r="570" spans="6:21">
      <c r="F570" s="303"/>
      <c r="G570" s="303"/>
      <c r="J570" s="303"/>
      <c r="K570" s="324"/>
      <c r="L570" s="303"/>
      <c r="M570" s="303"/>
      <c r="N570" s="303"/>
      <c r="O570" s="303"/>
      <c r="P570" s="303"/>
      <c r="Q570" s="25"/>
      <c r="R570" s="25"/>
      <c r="S570" s="25"/>
      <c r="T570" s="25"/>
      <c r="U570" s="25"/>
    </row>
    <row r="571" spans="6:21">
      <c r="F571" s="303"/>
      <c r="G571" s="303"/>
      <c r="J571" s="303"/>
      <c r="K571" s="324"/>
      <c r="L571" s="303"/>
      <c r="M571" s="303"/>
      <c r="N571" s="303"/>
      <c r="O571" s="303"/>
      <c r="P571" s="303"/>
      <c r="Q571" s="25"/>
      <c r="R571" s="25"/>
      <c r="S571" s="25"/>
      <c r="T571" s="25"/>
      <c r="U571" s="25"/>
    </row>
    <row r="572" spans="6:21">
      <c r="F572" s="303"/>
      <c r="G572" s="303"/>
      <c r="J572" s="303"/>
      <c r="K572" s="324"/>
      <c r="L572" s="303"/>
      <c r="M572" s="303"/>
      <c r="N572" s="303"/>
      <c r="O572" s="303"/>
      <c r="P572" s="303"/>
      <c r="Q572" s="25"/>
      <c r="R572" s="25"/>
      <c r="S572" s="25"/>
      <c r="T572" s="25"/>
      <c r="U572" s="25"/>
    </row>
    <row r="573" spans="6:21">
      <c r="F573" s="303"/>
      <c r="G573" s="303"/>
      <c r="J573" s="303"/>
      <c r="K573" s="324"/>
      <c r="L573" s="303"/>
      <c r="M573" s="303"/>
      <c r="N573" s="303"/>
      <c r="O573" s="303"/>
      <c r="P573" s="303"/>
      <c r="Q573" s="25"/>
      <c r="R573" s="25"/>
      <c r="S573" s="25"/>
      <c r="T573" s="25"/>
      <c r="U573" s="25"/>
    </row>
    <row r="574" spans="6:21">
      <c r="F574" s="303"/>
      <c r="G574" s="303"/>
      <c r="J574" s="303"/>
      <c r="K574" s="324"/>
      <c r="L574" s="303"/>
      <c r="M574" s="303"/>
      <c r="N574" s="303"/>
      <c r="O574" s="303"/>
      <c r="P574" s="303"/>
      <c r="Q574" s="25"/>
      <c r="R574" s="25"/>
      <c r="S574" s="25"/>
      <c r="T574" s="25"/>
      <c r="U574" s="25"/>
    </row>
    <row r="575" spans="6:21">
      <c r="F575" s="303"/>
      <c r="G575" s="303"/>
      <c r="J575" s="303"/>
      <c r="K575" s="324"/>
      <c r="L575" s="303"/>
      <c r="M575" s="303"/>
      <c r="N575" s="303"/>
      <c r="O575" s="303"/>
      <c r="P575" s="303"/>
      <c r="Q575" s="25"/>
      <c r="R575" s="25"/>
      <c r="S575" s="25"/>
      <c r="T575" s="25"/>
      <c r="U575" s="25"/>
    </row>
    <row r="576" spans="6:21">
      <c r="F576" s="303"/>
      <c r="G576" s="303"/>
      <c r="J576" s="303"/>
      <c r="K576" s="324"/>
      <c r="L576" s="303"/>
      <c r="M576" s="303"/>
      <c r="N576" s="303"/>
      <c r="O576" s="303"/>
      <c r="P576" s="303"/>
      <c r="Q576" s="25"/>
      <c r="R576" s="25"/>
      <c r="S576" s="25"/>
      <c r="T576" s="25"/>
      <c r="U576" s="25"/>
    </row>
    <row r="577" spans="6:21">
      <c r="F577" s="303"/>
      <c r="G577" s="303"/>
      <c r="J577" s="303"/>
      <c r="K577" s="324"/>
      <c r="L577" s="303"/>
      <c r="M577" s="303"/>
      <c r="N577" s="303"/>
      <c r="O577" s="303"/>
      <c r="P577" s="303"/>
      <c r="Q577" s="25"/>
      <c r="R577" s="25"/>
      <c r="S577" s="25"/>
      <c r="T577" s="25"/>
      <c r="U577" s="25"/>
    </row>
    <row r="578" spans="6:21">
      <c r="F578" s="303"/>
      <c r="G578" s="303"/>
      <c r="J578" s="303"/>
      <c r="K578" s="324"/>
      <c r="L578" s="303"/>
      <c r="M578" s="303"/>
      <c r="N578" s="303"/>
      <c r="O578" s="303"/>
      <c r="P578" s="303"/>
      <c r="Q578" s="25"/>
      <c r="R578" s="25"/>
      <c r="S578" s="25"/>
      <c r="T578" s="25"/>
      <c r="U578" s="25"/>
    </row>
    <row r="579" spans="6:21">
      <c r="F579" s="303"/>
      <c r="G579" s="303"/>
      <c r="J579" s="303"/>
      <c r="K579" s="324"/>
      <c r="L579" s="303"/>
      <c r="M579" s="303"/>
      <c r="N579" s="303"/>
      <c r="O579" s="303"/>
      <c r="P579" s="303"/>
      <c r="Q579" s="25"/>
      <c r="R579" s="25"/>
      <c r="S579" s="25"/>
      <c r="T579" s="25"/>
      <c r="U579" s="25"/>
    </row>
    <row r="580" spans="6:21">
      <c r="F580" s="303"/>
      <c r="G580" s="303"/>
      <c r="J580" s="303"/>
      <c r="K580" s="324"/>
      <c r="L580" s="303"/>
      <c r="M580" s="303"/>
      <c r="N580" s="303"/>
      <c r="O580" s="303"/>
      <c r="P580" s="303"/>
      <c r="Q580" s="25"/>
      <c r="R580" s="25"/>
      <c r="S580" s="25"/>
      <c r="T580" s="25"/>
      <c r="U580" s="25"/>
    </row>
    <row r="581" spans="6:21">
      <c r="F581" s="303"/>
      <c r="G581" s="303"/>
      <c r="J581" s="303"/>
      <c r="K581" s="324"/>
      <c r="L581" s="303"/>
      <c r="M581" s="303"/>
      <c r="N581" s="303"/>
      <c r="O581" s="303"/>
      <c r="P581" s="303"/>
      <c r="Q581" s="25"/>
      <c r="R581" s="25"/>
      <c r="S581" s="25"/>
      <c r="T581" s="25"/>
      <c r="U581" s="25"/>
    </row>
    <row r="582" spans="6:21">
      <c r="F582" s="303"/>
      <c r="G582" s="303"/>
      <c r="J582" s="303"/>
      <c r="K582" s="324"/>
      <c r="L582" s="303"/>
      <c r="M582" s="303"/>
      <c r="N582" s="303"/>
      <c r="O582" s="303"/>
      <c r="P582" s="303"/>
      <c r="Q582" s="25"/>
      <c r="R582" s="25"/>
      <c r="S582" s="25"/>
      <c r="T582" s="25"/>
      <c r="U582" s="25"/>
    </row>
    <row r="583" spans="6:21">
      <c r="F583" s="303"/>
      <c r="G583" s="303"/>
      <c r="J583" s="303"/>
      <c r="K583" s="324"/>
      <c r="L583" s="303"/>
      <c r="M583" s="303"/>
      <c r="N583" s="303"/>
      <c r="O583" s="303"/>
      <c r="P583" s="303"/>
      <c r="Q583" s="25"/>
      <c r="R583" s="25"/>
      <c r="S583" s="25"/>
      <c r="T583" s="25"/>
      <c r="U583" s="25"/>
    </row>
    <row r="584" spans="6:21">
      <c r="F584" s="303"/>
      <c r="G584" s="303"/>
      <c r="J584" s="303"/>
      <c r="K584" s="324"/>
      <c r="L584" s="303"/>
      <c r="M584" s="303"/>
      <c r="N584" s="303"/>
      <c r="O584" s="303"/>
      <c r="P584" s="303"/>
      <c r="Q584" s="25"/>
      <c r="R584" s="25"/>
      <c r="S584" s="25"/>
      <c r="T584" s="25"/>
      <c r="U584" s="25"/>
    </row>
    <row r="585" spans="6:21">
      <c r="F585" s="303"/>
      <c r="G585" s="303"/>
      <c r="J585" s="303"/>
      <c r="K585" s="324"/>
      <c r="L585" s="303"/>
      <c r="M585" s="303"/>
      <c r="N585" s="303"/>
      <c r="O585" s="303"/>
      <c r="P585" s="303"/>
      <c r="Q585" s="25"/>
      <c r="R585" s="25"/>
      <c r="S585" s="25"/>
      <c r="T585" s="25"/>
      <c r="U585" s="25"/>
    </row>
    <row r="586" spans="6:21">
      <c r="F586" s="303"/>
      <c r="G586" s="303"/>
      <c r="J586" s="303"/>
      <c r="K586" s="324"/>
      <c r="L586" s="303"/>
      <c r="M586" s="303"/>
      <c r="N586" s="303"/>
      <c r="O586" s="303"/>
      <c r="P586" s="303"/>
      <c r="Q586" s="25"/>
      <c r="R586" s="25"/>
      <c r="S586" s="25"/>
      <c r="T586" s="25"/>
      <c r="U586" s="25"/>
    </row>
    <row r="587" spans="6:21">
      <c r="F587" s="303"/>
      <c r="G587" s="303"/>
      <c r="J587" s="303"/>
      <c r="K587" s="324"/>
      <c r="L587" s="303"/>
      <c r="M587" s="303"/>
      <c r="N587" s="303"/>
      <c r="O587" s="303"/>
      <c r="P587" s="303"/>
      <c r="Q587" s="25"/>
      <c r="R587" s="25"/>
      <c r="S587" s="25"/>
      <c r="T587" s="25"/>
      <c r="U587" s="25"/>
    </row>
    <row r="588" spans="6:21">
      <c r="F588" s="303"/>
      <c r="G588" s="303"/>
      <c r="J588" s="303"/>
      <c r="K588" s="324"/>
      <c r="L588" s="303"/>
      <c r="M588" s="303"/>
      <c r="N588" s="303"/>
      <c r="O588" s="303"/>
      <c r="P588" s="303"/>
      <c r="Q588" s="25"/>
      <c r="R588" s="25"/>
      <c r="S588" s="25"/>
      <c r="T588" s="25"/>
      <c r="U588" s="25"/>
    </row>
    <row r="589" spans="6:21">
      <c r="F589" s="303"/>
      <c r="G589" s="303"/>
      <c r="J589" s="303"/>
      <c r="K589" s="324"/>
      <c r="L589" s="303"/>
      <c r="M589" s="303"/>
      <c r="N589" s="303"/>
      <c r="O589" s="303"/>
      <c r="P589" s="303"/>
      <c r="Q589" s="25"/>
      <c r="R589" s="25"/>
      <c r="S589" s="25"/>
      <c r="T589" s="25"/>
      <c r="U589" s="25"/>
    </row>
    <row r="590" spans="6:21">
      <c r="F590" s="303"/>
      <c r="G590" s="303"/>
      <c r="J590" s="303"/>
      <c r="K590" s="324"/>
      <c r="L590" s="303"/>
      <c r="M590" s="303"/>
      <c r="N590" s="303"/>
      <c r="O590" s="303"/>
      <c r="P590" s="303"/>
      <c r="Q590" s="25"/>
      <c r="R590" s="25"/>
      <c r="S590" s="25"/>
      <c r="T590" s="25"/>
      <c r="U590" s="25"/>
    </row>
    <row r="591" spans="6:21">
      <c r="F591" s="303"/>
      <c r="G591" s="303"/>
      <c r="J591" s="303"/>
      <c r="K591" s="324"/>
      <c r="L591" s="303"/>
      <c r="M591" s="303"/>
      <c r="N591" s="303"/>
      <c r="O591" s="303"/>
      <c r="P591" s="303"/>
      <c r="Q591" s="25"/>
      <c r="R591" s="25"/>
      <c r="S591" s="25"/>
      <c r="T591" s="25"/>
      <c r="U591" s="25"/>
    </row>
    <row r="592" spans="6:21">
      <c r="F592" s="303"/>
      <c r="G592" s="303"/>
      <c r="J592" s="303"/>
      <c r="K592" s="324"/>
      <c r="L592" s="303"/>
      <c r="M592" s="303"/>
      <c r="N592" s="303"/>
      <c r="O592" s="303"/>
      <c r="P592" s="303"/>
      <c r="Q592" s="25"/>
      <c r="R592" s="25"/>
      <c r="S592" s="25"/>
      <c r="T592" s="25"/>
      <c r="U592" s="25"/>
    </row>
    <row r="593" spans="6:21">
      <c r="F593" s="303"/>
      <c r="G593" s="303"/>
      <c r="J593" s="303"/>
      <c r="K593" s="324"/>
      <c r="L593" s="303"/>
      <c r="M593" s="303"/>
      <c r="N593" s="303"/>
      <c r="O593" s="303"/>
      <c r="P593" s="303"/>
      <c r="Q593" s="25"/>
      <c r="R593" s="25"/>
      <c r="S593" s="25"/>
      <c r="T593" s="25"/>
      <c r="U593" s="25"/>
    </row>
    <row r="594" spans="6:21">
      <c r="F594" s="303"/>
      <c r="G594" s="303"/>
      <c r="J594" s="303"/>
      <c r="K594" s="324"/>
      <c r="L594" s="303"/>
      <c r="M594" s="303"/>
      <c r="N594" s="303"/>
      <c r="O594" s="303"/>
      <c r="P594" s="303"/>
      <c r="Q594" s="25"/>
      <c r="R594" s="25"/>
      <c r="S594" s="25"/>
      <c r="T594" s="25"/>
      <c r="U594" s="25"/>
    </row>
    <row r="595" spans="6:21">
      <c r="F595" s="303"/>
      <c r="G595" s="303"/>
      <c r="J595" s="303"/>
      <c r="K595" s="324"/>
      <c r="L595" s="303"/>
      <c r="M595" s="303"/>
      <c r="N595" s="303"/>
      <c r="O595" s="303"/>
      <c r="P595" s="303"/>
      <c r="Q595" s="25"/>
      <c r="R595" s="25"/>
      <c r="S595" s="25"/>
      <c r="T595" s="25"/>
      <c r="U595" s="25"/>
    </row>
    <row r="596" spans="6:21">
      <c r="F596" s="303"/>
      <c r="G596" s="303"/>
      <c r="J596" s="303"/>
      <c r="K596" s="324"/>
      <c r="L596" s="303"/>
      <c r="M596" s="303"/>
      <c r="N596" s="303"/>
      <c r="O596" s="303"/>
      <c r="P596" s="303"/>
      <c r="Q596" s="25"/>
      <c r="R596" s="25"/>
      <c r="S596" s="25"/>
      <c r="T596" s="25"/>
      <c r="U596" s="25"/>
    </row>
    <row r="597" spans="6:21">
      <c r="F597" s="303"/>
      <c r="G597" s="303"/>
      <c r="J597" s="303"/>
      <c r="K597" s="324"/>
      <c r="L597" s="303"/>
      <c r="M597" s="303"/>
      <c r="N597" s="303"/>
      <c r="O597" s="303"/>
      <c r="P597" s="303"/>
      <c r="Q597" s="25"/>
      <c r="R597" s="25"/>
      <c r="S597" s="25"/>
      <c r="T597" s="25"/>
      <c r="U597" s="25"/>
    </row>
    <row r="598" spans="6:21">
      <c r="F598" s="303"/>
      <c r="G598" s="303"/>
      <c r="J598" s="303"/>
      <c r="K598" s="324"/>
      <c r="L598" s="303"/>
      <c r="M598" s="303"/>
      <c r="N598" s="303"/>
      <c r="O598" s="303"/>
      <c r="P598" s="303"/>
      <c r="Q598" s="25"/>
      <c r="R598" s="25"/>
      <c r="S598" s="25"/>
      <c r="T598" s="25"/>
      <c r="U598" s="25"/>
    </row>
    <row r="599" spans="6:21">
      <c r="F599" s="303"/>
      <c r="G599" s="303"/>
      <c r="J599" s="303"/>
      <c r="K599" s="324"/>
      <c r="L599" s="303"/>
      <c r="M599" s="303"/>
      <c r="N599" s="303"/>
      <c r="O599" s="303"/>
      <c r="P599" s="303"/>
      <c r="Q599" s="25"/>
      <c r="R599" s="25"/>
      <c r="S599" s="25"/>
      <c r="T599" s="25"/>
      <c r="U599" s="25"/>
    </row>
    <row r="600" spans="6:21">
      <c r="F600" s="303"/>
      <c r="G600" s="303"/>
      <c r="J600" s="303"/>
      <c r="K600" s="324"/>
      <c r="L600" s="303"/>
      <c r="M600" s="303"/>
      <c r="N600" s="303"/>
      <c r="O600" s="303"/>
      <c r="P600" s="303"/>
      <c r="Q600" s="25"/>
      <c r="R600" s="25"/>
      <c r="S600" s="25"/>
      <c r="T600" s="25"/>
      <c r="U600" s="25"/>
    </row>
    <row r="601" spans="6:21">
      <c r="F601" s="303"/>
      <c r="G601" s="303"/>
      <c r="J601" s="303"/>
      <c r="K601" s="324"/>
      <c r="L601" s="303"/>
      <c r="M601" s="303"/>
      <c r="N601" s="303"/>
      <c r="O601" s="303"/>
      <c r="P601" s="303"/>
      <c r="Q601" s="25"/>
      <c r="R601" s="25"/>
      <c r="S601" s="25"/>
      <c r="T601" s="25"/>
      <c r="U601" s="25"/>
    </row>
    <row r="602" spans="6:21">
      <c r="F602" s="303"/>
      <c r="G602" s="303"/>
      <c r="J602" s="303"/>
      <c r="K602" s="324"/>
      <c r="L602" s="303"/>
      <c r="M602" s="303"/>
      <c r="N602" s="303"/>
      <c r="O602" s="303"/>
      <c r="P602" s="303"/>
      <c r="Q602" s="25"/>
      <c r="R602" s="25"/>
      <c r="S602" s="25"/>
      <c r="T602" s="25"/>
      <c r="U602" s="25"/>
    </row>
    <row r="603" spans="6:21">
      <c r="F603" s="303"/>
      <c r="G603" s="303"/>
      <c r="J603" s="303"/>
      <c r="K603" s="324"/>
      <c r="L603" s="303"/>
      <c r="M603" s="303"/>
      <c r="N603" s="303"/>
      <c r="O603" s="303"/>
      <c r="P603" s="303"/>
      <c r="Q603" s="25"/>
      <c r="R603" s="25"/>
      <c r="S603" s="25"/>
      <c r="T603" s="25"/>
      <c r="U603" s="25"/>
    </row>
    <row r="604" spans="6:21">
      <c r="F604" s="303"/>
      <c r="G604" s="303"/>
      <c r="J604" s="303"/>
      <c r="K604" s="324"/>
      <c r="L604" s="303"/>
      <c r="M604" s="303"/>
      <c r="N604" s="303"/>
      <c r="O604" s="303"/>
      <c r="P604" s="303"/>
      <c r="Q604" s="25"/>
      <c r="R604" s="25"/>
      <c r="S604" s="25"/>
      <c r="T604" s="25"/>
      <c r="U604" s="25"/>
    </row>
    <row r="605" spans="6:21">
      <c r="F605" s="303"/>
      <c r="G605" s="303"/>
      <c r="J605" s="303"/>
      <c r="K605" s="324"/>
      <c r="L605" s="303"/>
      <c r="M605" s="303"/>
      <c r="N605" s="303"/>
      <c r="O605" s="303"/>
      <c r="P605" s="303"/>
      <c r="Q605" s="25"/>
      <c r="R605" s="25"/>
      <c r="S605" s="25"/>
      <c r="T605" s="25"/>
      <c r="U605" s="25"/>
    </row>
    <row r="606" spans="6:21">
      <c r="F606" s="303"/>
      <c r="G606" s="303"/>
      <c r="J606" s="303"/>
      <c r="K606" s="324"/>
      <c r="L606" s="303"/>
      <c r="M606" s="303"/>
      <c r="N606" s="303"/>
      <c r="O606" s="303"/>
      <c r="P606" s="303"/>
      <c r="Q606" s="25"/>
      <c r="R606" s="25"/>
      <c r="S606" s="25"/>
      <c r="T606" s="25"/>
      <c r="U606" s="25"/>
    </row>
    <row r="607" spans="6:21">
      <c r="F607" s="303"/>
      <c r="G607" s="303"/>
      <c r="J607" s="303"/>
      <c r="K607" s="324"/>
      <c r="L607" s="303"/>
      <c r="M607" s="303"/>
      <c r="N607" s="303"/>
      <c r="O607" s="303"/>
      <c r="P607" s="303"/>
      <c r="Q607" s="25"/>
      <c r="R607" s="25"/>
      <c r="S607" s="25"/>
      <c r="T607" s="25"/>
      <c r="U607" s="25"/>
    </row>
    <row r="608" spans="6:21">
      <c r="F608" s="303"/>
      <c r="G608" s="303"/>
      <c r="J608" s="303"/>
      <c r="K608" s="324"/>
      <c r="L608" s="303"/>
      <c r="M608" s="303"/>
      <c r="N608" s="303"/>
      <c r="O608" s="303"/>
      <c r="P608" s="303"/>
      <c r="Q608" s="25"/>
      <c r="R608" s="25"/>
      <c r="S608" s="25"/>
      <c r="T608" s="25"/>
      <c r="U608" s="25"/>
    </row>
    <row r="609" spans="6:21">
      <c r="F609" s="303"/>
      <c r="G609" s="303"/>
      <c r="J609" s="303"/>
      <c r="K609" s="324"/>
      <c r="L609" s="303"/>
      <c r="M609" s="303"/>
      <c r="N609" s="303"/>
      <c r="O609" s="303"/>
      <c r="P609" s="303"/>
      <c r="Q609" s="25"/>
      <c r="R609" s="25"/>
      <c r="S609" s="25"/>
      <c r="T609" s="25"/>
      <c r="U609" s="25"/>
    </row>
    <row r="610" spans="6:21">
      <c r="F610" s="303"/>
      <c r="G610" s="303"/>
      <c r="J610" s="303"/>
      <c r="K610" s="324"/>
      <c r="L610" s="303"/>
      <c r="M610" s="303"/>
      <c r="N610" s="303"/>
      <c r="O610" s="303"/>
      <c r="P610" s="303"/>
      <c r="Q610" s="25"/>
      <c r="R610" s="25"/>
      <c r="S610" s="25"/>
      <c r="T610" s="25"/>
      <c r="U610" s="25"/>
    </row>
    <row r="611" spans="6:21">
      <c r="F611" s="303"/>
      <c r="G611" s="303"/>
      <c r="J611" s="303"/>
      <c r="K611" s="324"/>
      <c r="L611" s="303"/>
      <c r="M611" s="303"/>
      <c r="N611" s="303"/>
      <c r="O611" s="303"/>
      <c r="P611" s="303"/>
      <c r="Q611" s="25"/>
      <c r="R611" s="25"/>
      <c r="S611" s="25"/>
      <c r="T611" s="25"/>
      <c r="U611" s="25"/>
    </row>
    <row r="612" spans="6:21">
      <c r="F612" s="303"/>
      <c r="G612" s="303"/>
      <c r="J612" s="303"/>
      <c r="K612" s="324"/>
      <c r="L612" s="303"/>
      <c r="M612" s="303"/>
      <c r="N612" s="303"/>
      <c r="O612" s="303"/>
      <c r="P612" s="303"/>
      <c r="Q612" s="25"/>
      <c r="R612" s="25"/>
      <c r="S612" s="25"/>
      <c r="T612" s="25"/>
      <c r="U612" s="25"/>
    </row>
    <row r="613" spans="6:21">
      <c r="F613" s="303"/>
      <c r="G613" s="303"/>
      <c r="J613" s="303"/>
      <c r="K613" s="324"/>
      <c r="L613" s="303"/>
      <c r="M613" s="303"/>
      <c r="N613" s="303"/>
      <c r="O613" s="303"/>
      <c r="P613" s="303"/>
      <c r="Q613" s="25"/>
      <c r="R613" s="25"/>
      <c r="S613" s="25"/>
      <c r="T613" s="25"/>
      <c r="U613" s="25"/>
    </row>
    <row r="614" spans="6:21">
      <c r="F614" s="303"/>
      <c r="G614" s="303"/>
      <c r="J614" s="303"/>
      <c r="K614" s="324"/>
      <c r="L614" s="303"/>
      <c r="M614" s="303"/>
      <c r="N614" s="303"/>
      <c r="O614" s="303"/>
      <c r="P614" s="303"/>
      <c r="Q614" s="25"/>
      <c r="R614" s="25"/>
      <c r="S614" s="25"/>
      <c r="T614" s="25"/>
      <c r="U614" s="25"/>
    </row>
    <row r="615" spans="6:21">
      <c r="F615" s="303"/>
      <c r="G615" s="303"/>
      <c r="J615" s="303"/>
      <c r="K615" s="324"/>
      <c r="L615" s="303"/>
      <c r="M615" s="303"/>
      <c r="N615" s="303"/>
      <c r="O615" s="303"/>
      <c r="P615" s="303"/>
      <c r="Q615" s="25"/>
      <c r="R615" s="25"/>
      <c r="S615" s="25"/>
      <c r="T615" s="25"/>
      <c r="U615" s="25"/>
    </row>
    <row r="616" spans="6:21">
      <c r="F616" s="303"/>
      <c r="G616" s="303"/>
      <c r="J616" s="303"/>
      <c r="K616" s="324"/>
      <c r="L616" s="303"/>
      <c r="M616" s="303"/>
      <c r="N616" s="303"/>
      <c r="O616" s="303"/>
      <c r="P616" s="303"/>
      <c r="Q616" s="25"/>
      <c r="R616" s="25"/>
      <c r="S616" s="25"/>
      <c r="T616" s="25"/>
      <c r="U616" s="25"/>
    </row>
    <row r="617" spans="6:21">
      <c r="F617" s="303"/>
      <c r="G617" s="303"/>
      <c r="J617" s="303"/>
      <c r="K617" s="324"/>
      <c r="L617" s="303"/>
      <c r="M617" s="303"/>
      <c r="N617" s="303"/>
      <c r="O617" s="303"/>
      <c r="P617" s="303"/>
      <c r="Q617" s="25"/>
      <c r="R617" s="25"/>
      <c r="S617" s="25"/>
      <c r="T617" s="25"/>
      <c r="U617" s="25"/>
    </row>
    <row r="618" spans="6:21">
      <c r="F618" s="303"/>
      <c r="G618" s="303"/>
      <c r="J618" s="303"/>
      <c r="K618" s="324"/>
      <c r="L618" s="303"/>
      <c r="M618" s="303"/>
      <c r="N618" s="303"/>
      <c r="O618" s="303"/>
      <c r="P618" s="303"/>
      <c r="Q618" s="25"/>
      <c r="R618" s="25"/>
      <c r="S618" s="25"/>
      <c r="T618" s="25"/>
      <c r="U618" s="25"/>
    </row>
    <row r="619" spans="6:21">
      <c r="F619" s="303"/>
      <c r="G619" s="303"/>
      <c r="J619" s="303"/>
      <c r="K619" s="324"/>
      <c r="L619" s="303"/>
      <c r="M619" s="303"/>
      <c r="N619" s="303"/>
      <c r="O619" s="303"/>
      <c r="P619" s="303"/>
      <c r="Q619" s="25"/>
      <c r="R619" s="25"/>
      <c r="S619" s="25"/>
      <c r="T619" s="25"/>
      <c r="U619" s="25"/>
    </row>
    <row r="620" spans="6:21">
      <c r="F620" s="303"/>
      <c r="G620" s="303"/>
      <c r="J620" s="303"/>
      <c r="K620" s="324"/>
      <c r="L620" s="303"/>
      <c r="M620" s="303"/>
      <c r="N620" s="303"/>
      <c r="O620" s="303"/>
      <c r="P620" s="303"/>
      <c r="Q620" s="25"/>
      <c r="R620" s="25"/>
      <c r="S620" s="25"/>
      <c r="T620" s="25"/>
      <c r="U620" s="25"/>
    </row>
    <row r="621" spans="6:21">
      <c r="F621" s="303"/>
      <c r="G621" s="303"/>
      <c r="J621" s="303"/>
      <c r="K621" s="324"/>
      <c r="L621" s="303"/>
      <c r="M621" s="303"/>
      <c r="N621" s="303"/>
      <c r="O621" s="303"/>
      <c r="P621" s="303"/>
      <c r="Q621" s="25"/>
      <c r="R621" s="25"/>
      <c r="S621" s="25"/>
      <c r="T621" s="25"/>
      <c r="U621" s="25"/>
    </row>
    <row r="622" spans="6:21">
      <c r="F622" s="303"/>
      <c r="G622" s="303"/>
      <c r="J622" s="303"/>
      <c r="K622" s="324"/>
      <c r="L622" s="303"/>
      <c r="M622" s="303"/>
      <c r="N622" s="303"/>
      <c r="O622" s="303"/>
      <c r="P622" s="303"/>
      <c r="Q622" s="25"/>
      <c r="R622" s="25"/>
      <c r="S622" s="25"/>
      <c r="T622" s="25"/>
      <c r="U622" s="25"/>
    </row>
    <row r="623" spans="6:21">
      <c r="F623" s="303"/>
      <c r="G623" s="303"/>
      <c r="J623" s="303"/>
      <c r="K623" s="324"/>
      <c r="L623" s="303"/>
      <c r="M623" s="303"/>
      <c r="N623" s="303"/>
      <c r="O623" s="303"/>
      <c r="P623" s="303"/>
      <c r="Q623" s="25"/>
      <c r="R623" s="25"/>
      <c r="S623" s="25"/>
      <c r="T623" s="25"/>
      <c r="U623" s="25"/>
    </row>
    <row r="624" spans="6:21">
      <c r="F624" s="303"/>
      <c r="G624" s="303"/>
      <c r="J624" s="303"/>
      <c r="K624" s="324"/>
      <c r="L624" s="303"/>
      <c r="M624" s="303"/>
      <c r="N624" s="303"/>
      <c r="O624" s="303"/>
      <c r="P624" s="303"/>
      <c r="Q624" s="25"/>
      <c r="R624" s="25"/>
      <c r="S624" s="25"/>
      <c r="T624" s="25"/>
      <c r="U624" s="25"/>
    </row>
    <row r="625" spans="6:21">
      <c r="F625" s="303"/>
      <c r="G625" s="303"/>
      <c r="J625" s="303"/>
      <c r="K625" s="324"/>
      <c r="L625" s="303"/>
      <c r="M625" s="303"/>
      <c r="N625" s="303"/>
      <c r="O625" s="303"/>
      <c r="P625" s="303"/>
      <c r="Q625" s="25"/>
      <c r="R625" s="25"/>
      <c r="S625" s="25"/>
      <c r="T625" s="25"/>
      <c r="U625" s="25"/>
    </row>
    <row r="626" spans="6:21">
      <c r="F626" s="303"/>
      <c r="G626" s="303"/>
      <c r="J626" s="303"/>
      <c r="K626" s="324"/>
      <c r="L626" s="303"/>
      <c r="M626" s="303"/>
      <c r="N626" s="303"/>
      <c r="O626" s="303"/>
      <c r="P626" s="303"/>
      <c r="Q626" s="25"/>
      <c r="R626" s="25"/>
      <c r="S626" s="25"/>
      <c r="T626" s="25"/>
      <c r="U626" s="25"/>
    </row>
    <row r="627" spans="6:21">
      <c r="F627" s="303"/>
      <c r="G627" s="303"/>
      <c r="J627" s="303"/>
      <c r="K627" s="324"/>
      <c r="L627" s="303"/>
      <c r="M627" s="303"/>
      <c r="N627" s="303"/>
      <c r="O627" s="303"/>
      <c r="P627" s="303"/>
      <c r="Q627" s="25"/>
      <c r="R627" s="25"/>
      <c r="S627" s="25"/>
      <c r="T627" s="25"/>
      <c r="U627" s="25"/>
    </row>
    <row r="628" spans="6:21">
      <c r="F628" s="303"/>
      <c r="G628" s="303"/>
      <c r="J628" s="303"/>
      <c r="K628" s="324"/>
      <c r="L628" s="303"/>
      <c r="M628" s="303"/>
      <c r="N628" s="303"/>
      <c r="O628" s="303"/>
      <c r="P628" s="303"/>
      <c r="Q628" s="25"/>
      <c r="R628" s="25"/>
      <c r="S628" s="25"/>
      <c r="T628" s="25"/>
      <c r="U628" s="25"/>
    </row>
    <row r="629" spans="6:21">
      <c r="F629" s="303"/>
      <c r="G629" s="303"/>
      <c r="J629" s="303"/>
      <c r="K629" s="324"/>
      <c r="L629" s="303"/>
      <c r="M629" s="303"/>
      <c r="N629" s="303"/>
      <c r="O629" s="303"/>
      <c r="P629" s="303"/>
      <c r="Q629" s="25"/>
      <c r="R629" s="25"/>
      <c r="S629" s="25"/>
      <c r="T629" s="25"/>
      <c r="U629" s="25"/>
    </row>
    <row r="630" spans="6:21">
      <c r="F630" s="303"/>
      <c r="G630" s="303"/>
      <c r="J630" s="303"/>
      <c r="K630" s="324"/>
      <c r="L630" s="303"/>
      <c r="M630" s="303"/>
      <c r="N630" s="303"/>
      <c r="O630" s="303"/>
      <c r="P630" s="303"/>
      <c r="Q630" s="25"/>
      <c r="R630" s="25"/>
      <c r="S630" s="25"/>
      <c r="T630" s="25"/>
      <c r="U630" s="25"/>
    </row>
    <row r="631" spans="6:21">
      <c r="F631" s="303"/>
      <c r="G631" s="303"/>
      <c r="J631" s="303"/>
      <c r="K631" s="324"/>
      <c r="L631" s="303"/>
      <c r="M631" s="303"/>
      <c r="N631" s="303"/>
      <c r="O631" s="303"/>
      <c r="P631" s="303"/>
      <c r="Q631" s="25"/>
      <c r="R631" s="25"/>
      <c r="S631" s="25"/>
      <c r="T631" s="25"/>
      <c r="U631" s="25"/>
    </row>
    <row r="632" spans="6:21">
      <c r="F632" s="303"/>
      <c r="G632" s="303"/>
      <c r="J632" s="303"/>
      <c r="K632" s="324"/>
      <c r="L632" s="303"/>
      <c r="M632" s="303"/>
      <c r="N632" s="303"/>
      <c r="O632" s="303"/>
      <c r="P632" s="303"/>
      <c r="Q632" s="25"/>
      <c r="R632" s="25"/>
      <c r="S632" s="25"/>
      <c r="T632" s="25"/>
      <c r="U632" s="25"/>
    </row>
    <row r="633" spans="6:21">
      <c r="F633" s="303"/>
      <c r="G633" s="303"/>
      <c r="J633" s="303"/>
      <c r="K633" s="324"/>
      <c r="L633" s="303"/>
      <c r="M633" s="303"/>
      <c r="N633" s="303"/>
      <c r="O633" s="303"/>
      <c r="P633" s="303"/>
      <c r="Q633" s="25"/>
      <c r="R633" s="25"/>
      <c r="S633" s="25"/>
      <c r="T633" s="25"/>
      <c r="U633" s="25"/>
    </row>
    <row r="634" spans="6:21">
      <c r="F634" s="303"/>
      <c r="G634" s="303"/>
      <c r="J634" s="303"/>
      <c r="K634" s="324"/>
      <c r="L634" s="303"/>
      <c r="M634" s="303"/>
      <c r="N634" s="303"/>
      <c r="O634" s="303"/>
      <c r="P634" s="303"/>
      <c r="Q634" s="25"/>
      <c r="R634" s="25"/>
      <c r="S634" s="25"/>
      <c r="T634" s="25"/>
      <c r="U634" s="25"/>
    </row>
    <row r="635" spans="6:21">
      <c r="F635" s="303"/>
      <c r="G635" s="303"/>
      <c r="J635" s="303"/>
      <c r="K635" s="324"/>
      <c r="L635" s="303"/>
      <c r="M635" s="303"/>
      <c r="N635" s="303"/>
      <c r="O635" s="303"/>
      <c r="P635" s="303"/>
      <c r="Q635" s="25"/>
      <c r="R635" s="25"/>
      <c r="S635" s="25"/>
      <c r="T635" s="25"/>
      <c r="U635" s="25"/>
    </row>
    <row r="636" spans="6:21">
      <c r="F636" s="303"/>
      <c r="G636" s="303"/>
      <c r="J636" s="303"/>
      <c r="K636" s="324"/>
      <c r="L636" s="303"/>
      <c r="M636" s="303"/>
      <c r="N636" s="303"/>
      <c r="O636" s="303"/>
      <c r="P636" s="303"/>
      <c r="Q636" s="25"/>
      <c r="R636" s="25"/>
      <c r="S636" s="25"/>
      <c r="T636" s="25"/>
      <c r="U636" s="25"/>
    </row>
    <row r="637" spans="6:21">
      <c r="F637" s="303"/>
      <c r="G637" s="303"/>
      <c r="J637" s="303"/>
      <c r="K637" s="324"/>
      <c r="L637" s="303"/>
      <c r="M637" s="303"/>
      <c r="N637" s="303"/>
      <c r="O637" s="303"/>
      <c r="P637" s="303"/>
      <c r="Q637" s="25"/>
      <c r="R637" s="25"/>
      <c r="S637" s="25"/>
      <c r="T637" s="25"/>
      <c r="U637" s="25"/>
    </row>
    <row r="638" spans="6:21">
      <c r="F638" s="303"/>
      <c r="G638" s="303"/>
      <c r="J638" s="303"/>
      <c r="K638" s="324"/>
      <c r="L638" s="303"/>
      <c r="M638" s="303"/>
      <c r="N638" s="303"/>
      <c r="O638" s="303"/>
      <c r="P638" s="303"/>
      <c r="Q638" s="25"/>
      <c r="R638" s="25"/>
      <c r="S638" s="25"/>
      <c r="T638" s="25"/>
      <c r="U638" s="25"/>
    </row>
    <row r="639" spans="6:21">
      <c r="F639" s="303"/>
      <c r="G639" s="303"/>
      <c r="J639" s="303"/>
      <c r="K639" s="324"/>
      <c r="L639" s="303"/>
      <c r="M639" s="303"/>
      <c r="N639" s="303"/>
      <c r="O639" s="303"/>
      <c r="P639" s="303"/>
      <c r="Q639" s="25"/>
      <c r="R639" s="25"/>
      <c r="S639" s="25"/>
      <c r="T639" s="25"/>
      <c r="U639" s="25"/>
    </row>
    <row r="640" spans="6:21">
      <c r="F640" s="303"/>
      <c r="G640" s="303"/>
      <c r="J640" s="303"/>
      <c r="K640" s="324"/>
      <c r="L640" s="303"/>
      <c r="M640" s="303"/>
      <c r="N640" s="303"/>
      <c r="O640" s="303"/>
      <c r="P640" s="303"/>
      <c r="Q640" s="25"/>
      <c r="R640" s="25"/>
      <c r="S640" s="25"/>
      <c r="T640" s="25"/>
      <c r="U640" s="25"/>
    </row>
    <row r="641" spans="6:21">
      <c r="F641" s="303"/>
      <c r="G641" s="303"/>
      <c r="J641" s="303"/>
      <c r="K641" s="324"/>
      <c r="L641" s="303"/>
      <c r="M641" s="303"/>
      <c r="N641" s="303"/>
      <c r="O641" s="303"/>
      <c r="P641" s="303"/>
      <c r="Q641" s="25"/>
      <c r="R641" s="25"/>
      <c r="S641" s="25"/>
      <c r="T641" s="25"/>
      <c r="U641" s="25"/>
    </row>
    <row r="642" spans="6:21">
      <c r="F642" s="303"/>
      <c r="G642" s="303"/>
      <c r="J642" s="303"/>
      <c r="K642" s="324"/>
      <c r="L642" s="303"/>
      <c r="M642" s="303"/>
      <c r="N642" s="303"/>
      <c r="O642" s="303"/>
      <c r="P642" s="303"/>
      <c r="Q642" s="25"/>
      <c r="R642" s="25"/>
      <c r="S642" s="25"/>
      <c r="T642" s="25"/>
      <c r="U642" s="25"/>
    </row>
    <row r="643" spans="6:21">
      <c r="F643" s="303"/>
      <c r="G643" s="303"/>
      <c r="J643" s="303"/>
      <c r="K643" s="324"/>
      <c r="L643" s="303"/>
      <c r="M643" s="303"/>
      <c r="N643" s="303"/>
      <c r="O643" s="303"/>
      <c r="P643" s="303"/>
      <c r="Q643" s="25"/>
      <c r="R643" s="25"/>
      <c r="S643" s="25"/>
      <c r="T643" s="25"/>
      <c r="U643" s="25"/>
    </row>
    <row r="644" spans="6:21">
      <c r="F644" s="303"/>
      <c r="G644" s="303"/>
      <c r="J644" s="303"/>
      <c r="K644" s="324"/>
      <c r="L644" s="303"/>
      <c r="M644" s="303"/>
      <c r="N644" s="303"/>
      <c r="O644" s="303"/>
      <c r="P644" s="303"/>
      <c r="Q644" s="25"/>
      <c r="R644" s="25"/>
      <c r="S644" s="25"/>
      <c r="T644" s="25"/>
      <c r="U644" s="25"/>
    </row>
    <row r="645" spans="6:21">
      <c r="F645" s="303"/>
      <c r="G645" s="303"/>
      <c r="J645" s="303"/>
      <c r="K645" s="324"/>
      <c r="L645" s="303"/>
      <c r="M645" s="303"/>
      <c r="N645" s="303"/>
      <c r="O645" s="303"/>
      <c r="P645" s="303"/>
      <c r="Q645" s="25"/>
      <c r="R645" s="25"/>
      <c r="S645" s="25"/>
      <c r="T645" s="25"/>
      <c r="U645" s="25"/>
    </row>
    <row r="646" spans="6:21">
      <c r="F646" s="303"/>
      <c r="G646" s="303"/>
      <c r="J646" s="303"/>
      <c r="K646" s="324"/>
      <c r="L646" s="303"/>
      <c r="M646" s="303"/>
      <c r="N646" s="303"/>
      <c r="O646" s="303"/>
      <c r="P646" s="303"/>
      <c r="Q646" s="25"/>
      <c r="R646" s="25"/>
      <c r="S646" s="25"/>
      <c r="T646" s="25"/>
      <c r="U646" s="25"/>
    </row>
    <row r="647" spans="6:21">
      <c r="F647" s="303"/>
      <c r="G647" s="303"/>
      <c r="J647" s="303"/>
      <c r="K647" s="324"/>
      <c r="L647" s="303"/>
      <c r="M647" s="303"/>
      <c r="N647" s="303"/>
      <c r="O647" s="303"/>
      <c r="P647" s="303"/>
      <c r="Q647" s="25"/>
      <c r="R647" s="25"/>
      <c r="S647" s="25"/>
      <c r="T647" s="25"/>
      <c r="U647" s="25"/>
    </row>
    <row r="648" spans="6:21">
      <c r="F648" s="303"/>
      <c r="G648" s="303"/>
      <c r="J648" s="303"/>
      <c r="K648" s="324"/>
      <c r="L648" s="303"/>
      <c r="M648" s="303"/>
      <c r="N648" s="303"/>
      <c r="O648" s="303"/>
      <c r="P648" s="303"/>
      <c r="Q648" s="25"/>
      <c r="R648" s="25"/>
      <c r="S648" s="25"/>
      <c r="T648" s="25"/>
      <c r="U648" s="25"/>
    </row>
    <row r="649" spans="6:21">
      <c r="F649" s="303"/>
      <c r="G649" s="303"/>
      <c r="J649" s="303"/>
      <c r="K649" s="324"/>
      <c r="L649" s="303"/>
      <c r="M649" s="303"/>
      <c r="N649" s="303"/>
      <c r="O649" s="303"/>
      <c r="P649" s="303"/>
      <c r="Q649" s="25"/>
      <c r="R649" s="25"/>
      <c r="S649" s="25"/>
      <c r="T649" s="25"/>
      <c r="U649" s="25"/>
    </row>
    <row r="650" spans="6:21">
      <c r="F650" s="303"/>
      <c r="G650" s="303"/>
      <c r="J650" s="303"/>
      <c r="K650" s="324"/>
      <c r="L650" s="303"/>
      <c r="M650" s="303"/>
      <c r="N650" s="303"/>
      <c r="O650" s="303"/>
      <c r="P650" s="303"/>
      <c r="Q650" s="25"/>
      <c r="R650" s="25"/>
      <c r="S650" s="25"/>
      <c r="T650" s="25"/>
      <c r="U650" s="25"/>
    </row>
    <row r="651" spans="6:21">
      <c r="F651" s="303"/>
      <c r="G651" s="303"/>
      <c r="J651" s="303"/>
      <c r="K651" s="324"/>
      <c r="L651" s="303"/>
      <c r="M651" s="303"/>
      <c r="N651" s="303"/>
      <c r="O651" s="303"/>
      <c r="P651" s="303"/>
      <c r="Q651" s="25"/>
      <c r="R651" s="25"/>
      <c r="S651" s="25"/>
      <c r="T651" s="25"/>
      <c r="U651" s="25"/>
    </row>
    <row r="652" spans="6:21">
      <c r="F652" s="303"/>
      <c r="G652" s="303"/>
      <c r="J652" s="303"/>
      <c r="K652" s="324"/>
      <c r="L652" s="303"/>
      <c r="M652" s="303"/>
      <c r="N652" s="303"/>
      <c r="O652" s="303"/>
      <c r="P652" s="303"/>
      <c r="Q652" s="25"/>
      <c r="R652" s="25"/>
      <c r="S652" s="25"/>
      <c r="T652" s="25"/>
      <c r="U652" s="25"/>
    </row>
    <row r="653" spans="6:21">
      <c r="F653" s="303"/>
      <c r="G653" s="303"/>
      <c r="J653" s="303"/>
      <c r="K653" s="324"/>
      <c r="L653" s="303"/>
      <c r="M653" s="303"/>
      <c r="N653" s="303"/>
      <c r="O653" s="303"/>
      <c r="P653" s="303"/>
      <c r="Q653" s="25"/>
      <c r="R653" s="25"/>
      <c r="S653" s="25"/>
      <c r="T653" s="25"/>
      <c r="U653" s="25"/>
    </row>
    <row r="654" spans="6:21">
      <c r="F654" s="303"/>
      <c r="G654" s="303"/>
      <c r="J654" s="303"/>
      <c r="K654" s="324"/>
      <c r="L654" s="303"/>
      <c r="M654" s="303"/>
      <c r="N654" s="303"/>
      <c r="O654" s="303"/>
      <c r="P654" s="303"/>
      <c r="Q654" s="25"/>
      <c r="R654" s="25"/>
      <c r="S654" s="25"/>
      <c r="T654" s="25"/>
      <c r="U654" s="25"/>
    </row>
    <row r="655" spans="6:21">
      <c r="F655" s="303"/>
      <c r="G655" s="303"/>
      <c r="J655" s="303"/>
      <c r="K655" s="324"/>
      <c r="L655" s="303"/>
      <c r="M655" s="303"/>
      <c r="N655" s="303"/>
      <c r="O655" s="303"/>
      <c r="P655" s="303"/>
      <c r="Q655" s="25"/>
      <c r="R655" s="25"/>
      <c r="S655" s="25"/>
      <c r="T655" s="25"/>
      <c r="U655" s="25"/>
    </row>
    <row r="656" spans="6:21">
      <c r="F656" s="303"/>
      <c r="G656" s="303"/>
      <c r="J656" s="303"/>
      <c r="K656" s="324"/>
      <c r="L656" s="303"/>
      <c r="M656" s="303"/>
      <c r="N656" s="303"/>
      <c r="O656" s="303"/>
      <c r="P656" s="303"/>
      <c r="Q656" s="25"/>
      <c r="R656" s="25"/>
      <c r="S656" s="25"/>
      <c r="T656" s="25"/>
      <c r="U656" s="25"/>
    </row>
    <row r="657" spans="6:21">
      <c r="F657" s="303"/>
      <c r="G657" s="303"/>
      <c r="J657" s="303"/>
      <c r="K657" s="324"/>
      <c r="L657" s="303"/>
      <c r="M657" s="303"/>
      <c r="N657" s="303"/>
      <c r="O657" s="303"/>
      <c r="P657" s="303"/>
      <c r="Q657" s="25"/>
      <c r="R657" s="25"/>
      <c r="S657" s="25"/>
      <c r="T657" s="25"/>
      <c r="U657" s="25"/>
    </row>
    <row r="658" spans="6:21">
      <c r="F658" s="303"/>
      <c r="G658" s="303"/>
      <c r="J658" s="303"/>
      <c r="K658" s="324"/>
      <c r="L658" s="303"/>
      <c r="M658" s="303"/>
      <c r="N658" s="303"/>
      <c r="O658" s="303"/>
      <c r="P658" s="303"/>
      <c r="Q658" s="25"/>
      <c r="R658" s="25"/>
      <c r="S658" s="25"/>
      <c r="T658" s="25"/>
      <c r="U658" s="25"/>
    </row>
    <row r="659" spans="6:21">
      <c r="F659" s="303"/>
      <c r="G659" s="303"/>
      <c r="J659" s="303"/>
      <c r="K659" s="324"/>
      <c r="L659" s="303"/>
      <c r="M659" s="303"/>
      <c r="N659" s="303"/>
      <c r="O659" s="303"/>
      <c r="P659" s="303"/>
      <c r="Q659" s="25"/>
      <c r="R659" s="25"/>
      <c r="S659" s="25"/>
      <c r="T659" s="25"/>
      <c r="U659" s="25"/>
    </row>
    <row r="660" spans="6:21">
      <c r="F660" s="303"/>
      <c r="G660" s="303"/>
      <c r="J660" s="303"/>
      <c r="K660" s="324"/>
      <c r="L660" s="303"/>
      <c r="M660" s="303"/>
      <c r="N660" s="303"/>
      <c r="O660" s="303"/>
      <c r="P660" s="303"/>
      <c r="Q660" s="25"/>
      <c r="R660" s="25"/>
      <c r="S660" s="25"/>
      <c r="T660" s="25"/>
      <c r="U660" s="25"/>
    </row>
    <row r="661" spans="6:21">
      <c r="F661" s="303"/>
      <c r="G661" s="303"/>
      <c r="J661" s="303"/>
      <c r="K661" s="324"/>
      <c r="L661" s="303"/>
      <c r="M661" s="303"/>
      <c r="N661" s="303"/>
      <c r="O661" s="303"/>
      <c r="P661" s="303"/>
      <c r="Q661" s="25"/>
      <c r="R661" s="25"/>
      <c r="S661" s="25"/>
      <c r="T661" s="25"/>
      <c r="U661" s="25"/>
    </row>
    <row r="662" spans="6:21">
      <c r="F662" s="303"/>
      <c r="G662" s="303"/>
      <c r="J662" s="303"/>
      <c r="K662" s="324"/>
      <c r="L662" s="303"/>
      <c r="M662" s="303"/>
      <c r="N662" s="303"/>
      <c r="O662" s="303"/>
      <c r="P662" s="303"/>
      <c r="Q662" s="25"/>
      <c r="R662" s="25"/>
      <c r="S662" s="25"/>
      <c r="T662" s="25"/>
      <c r="U662" s="25"/>
    </row>
    <row r="663" spans="6:21">
      <c r="F663" s="303"/>
      <c r="G663" s="303"/>
      <c r="J663" s="303"/>
      <c r="K663" s="324"/>
      <c r="L663" s="303"/>
      <c r="M663" s="303"/>
      <c r="N663" s="303"/>
      <c r="O663" s="303"/>
      <c r="P663" s="303"/>
      <c r="Q663" s="25"/>
      <c r="R663" s="25"/>
      <c r="S663" s="25"/>
      <c r="T663" s="25"/>
      <c r="U663" s="25"/>
    </row>
    <row r="664" spans="6:21">
      <c r="F664" s="303"/>
      <c r="G664" s="303"/>
      <c r="J664" s="303"/>
      <c r="K664" s="324"/>
      <c r="L664" s="303"/>
      <c r="M664" s="303"/>
      <c r="N664" s="303"/>
      <c r="O664" s="303"/>
      <c r="P664" s="303"/>
      <c r="Q664" s="25"/>
      <c r="R664" s="25"/>
      <c r="S664" s="25"/>
      <c r="T664" s="25"/>
      <c r="U664" s="25"/>
    </row>
    <row r="665" spans="6:21">
      <c r="F665" s="303"/>
      <c r="G665" s="303"/>
      <c r="J665" s="303"/>
      <c r="K665" s="324"/>
      <c r="L665" s="303"/>
      <c r="M665" s="303"/>
      <c r="N665" s="303"/>
      <c r="O665" s="303"/>
      <c r="P665" s="303"/>
      <c r="Q665" s="25"/>
      <c r="R665" s="25"/>
      <c r="S665" s="25"/>
      <c r="T665" s="25"/>
      <c r="U665" s="25"/>
    </row>
    <row r="666" spans="6:21">
      <c r="F666" s="303"/>
      <c r="G666" s="303"/>
      <c r="J666" s="303"/>
      <c r="K666" s="324"/>
      <c r="L666" s="303"/>
      <c r="M666" s="303"/>
      <c r="N666" s="303"/>
      <c r="O666" s="303"/>
      <c r="P666" s="303"/>
      <c r="Q666" s="25"/>
      <c r="R666" s="25"/>
      <c r="S666" s="25"/>
      <c r="T666" s="25"/>
      <c r="U666" s="25"/>
    </row>
    <row r="667" spans="6:21">
      <c r="F667" s="303"/>
      <c r="G667" s="303"/>
      <c r="J667" s="303"/>
      <c r="K667" s="324"/>
      <c r="L667" s="303"/>
      <c r="M667" s="303"/>
      <c r="N667" s="303"/>
      <c r="O667" s="303"/>
      <c r="P667" s="303"/>
      <c r="Q667" s="25"/>
      <c r="R667" s="25"/>
      <c r="S667" s="25"/>
      <c r="T667" s="25"/>
      <c r="U667" s="25"/>
    </row>
    <row r="668" spans="6:21">
      <c r="F668" s="303"/>
      <c r="G668" s="303"/>
      <c r="J668" s="303"/>
      <c r="K668" s="324"/>
      <c r="L668" s="303"/>
      <c r="M668" s="303"/>
      <c r="N668" s="303"/>
      <c r="O668" s="303"/>
      <c r="P668" s="303"/>
      <c r="Q668" s="25"/>
      <c r="R668" s="25"/>
      <c r="S668" s="25"/>
      <c r="T668" s="25"/>
      <c r="U668" s="25"/>
    </row>
    <row r="669" spans="6:21">
      <c r="F669" s="303"/>
      <c r="G669" s="303"/>
      <c r="J669" s="303"/>
      <c r="K669" s="324"/>
      <c r="L669" s="303"/>
      <c r="M669" s="303"/>
      <c r="N669" s="303"/>
      <c r="O669" s="303"/>
      <c r="P669" s="303"/>
      <c r="Q669" s="25"/>
      <c r="R669" s="25"/>
      <c r="S669" s="25"/>
      <c r="T669" s="25"/>
      <c r="U669" s="25"/>
    </row>
    <row r="670" spans="6:21">
      <c r="F670" s="303"/>
      <c r="G670" s="303"/>
      <c r="J670" s="303"/>
      <c r="K670" s="324"/>
      <c r="L670" s="303"/>
      <c r="M670" s="303"/>
      <c r="N670" s="303"/>
      <c r="O670" s="303"/>
      <c r="P670" s="303"/>
      <c r="Q670" s="25"/>
      <c r="R670" s="25"/>
      <c r="S670" s="25"/>
      <c r="T670" s="25"/>
      <c r="U670" s="25"/>
    </row>
    <row r="671" spans="6:21">
      <c r="F671" s="303"/>
      <c r="G671" s="303"/>
      <c r="J671" s="303"/>
      <c r="K671" s="324"/>
      <c r="L671" s="303"/>
      <c r="M671" s="303"/>
      <c r="N671" s="303"/>
      <c r="O671" s="303"/>
      <c r="P671" s="303"/>
      <c r="Q671" s="25"/>
      <c r="R671" s="25"/>
      <c r="S671" s="25"/>
      <c r="T671" s="25"/>
      <c r="U671" s="25"/>
    </row>
    <row r="672" spans="6:21">
      <c r="F672" s="303"/>
      <c r="G672" s="303"/>
      <c r="J672" s="303"/>
      <c r="K672" s="324"/>
      <c r="L672" s="303"/>
      <c r="M672" s="303"/>
      <c r="N672" s="303"/>
      <c r="O672" s="303"/>
      <c r="P672" s="303"/>
      <c r="Q672" s="25"/>
      <c r="R672" s="25"/>
      <c r="S672" s="25"/>
      <c r="T672" s="25"/>
      <c r="U672" s="25"/>
    </row>
    <row r="673" spans="6:21">
      <c r="F673" s="303"/>
      <c r="G673" s="303"/>
      <c r="J673" s="303"/>
      <c r="K673" s="324"/>
      <c r="L673" s="303"/>
      <c r="M673" s="303"/>
      <c r="N673" s="303"/>
      <c r="O673" s="303"/>
      <c r="P673" s="303"/>
      <c r="Q673" s="25"/>
      <c r="R673" s="25"/>
      <c r="S673" s="25"/>
      <c r="T673" s="25"/>
      <c r="U673" s="25"/>
    </row>
    <row r="674" spans="6:21">
      <c r="F674" s="303"/>
      <c r="G674" s="303"/>
      <c r="J674" s="303"/>
      <c r="K674" s="324"/>
      <c r="L674" s="303"/>
      <c r="M674" s="303"/>
      <c r="N674" s="303"/>
      <c r="O674" s="303"/>
      <c r="P674" s="303"/>
      <c r="Q674" s="25"/>
      <c r="R674" s="25"/>
      <c r="S674" s="25"/>
      <c r="T674" s="25"/>
      <c r="U674" s="25"/>
    </row>
    <row r="675" spans="6:21">
      <c r="F675" s="303"/>
      <c r="G675" s="303"/>
      <c r="J675" s="303"/>
      <c r="K675" s="324"/>
      <c r="L675" s="303"/>
      <c r="M675" s="303"/>
      <c r="N675" s="303"/>
      <c r="O675" s="303"/>
      <c r="P675" s="303"/>
      <c r="Q675" s="25"/>
      <c r="R675" s="25"/>
      <c r="S675" s="25"/>
      <c r="T675" s="25"/>
      <c r="U675" s="25"/>
    </row>
    <row r="676" spans="6:21">
      <c r="F676" s="303"/>
      <c r="G676" s="303"/>
      <c r="J676" s="303"/>
      <c r="K676" s="324"/>
      <c r="L676" s="303"/>
      <c r="M676" s="303"/>
      <c r="N676" s="303"/>
      <c r="O676" s="303"/>
      <c r="P676" s="303"/>
      <c r="Q676" s="25"/>
      <c r="R676" s="25"/>
      <c r="S676" s="25"/>
      <c r="T676" s="25"/>
      <c r="U676" s="25"/>
    </row>
    <row r="677" spans="6:21">
      <c r="F677" s="303"/>
      <c r="G677" s="303"/>
      <c r="J677" s="303"/>
      <c r="K677" s="324"/>
      <c r="L677" s="303"/>
      <c r="M677" s="303"/>
      <c r="N677" s="303"/>
      <c r="O677" s="303"/>
      <c r="P677" s="303"/>
      <c r="Q677" s="25"/>
      <c r="R677" s="25"/>
      <c r="S677" s="25"/>
      <c r="T677" s="25"/>
      <c r="U677" s="25"/>
    </row>
    <row r="678" spans="6:21">
      <c r="F678" s="303"/>
      <c r="G678" s="303"/>
      <c r="J678" s="303"/>
      <c r="K678" s="324"/>
      <c r="L678" s="303"/>
      <c r="M678" s="303"/>
      <c r="N678" s="303"/>
      <c r="O678" s="303"/>
      <c r="P678" s="303"/>
      <c r="Q678" s="25"/>
      <c r="R678" s="25"/>
      <c r="S678" s="25"/>
      <c r="T678" s="25"/>
      <c r="U678" s="25"/>
    </row>
    <row r="679" spans="6:21">
      <c r="F679" s="303"/>
      <c r="G679" s="303"/>
      <c r="J679" s="303"/>
      <c r="K679" s="324"/>
      <c r="L679" s="303"/>
      <c r="M679" s="303"/>
      <c r="N679" s="303"/>
      <c r="O679" s="303"/>
      <c r="P679" s="303"/>
      <c r="Q679" s="25"/>
      <c r="R679" s="25"/>
      <c r="S679" s="25"/>
      <c r="T679" s="25"/>
      <c r="U679" s="25"/>
    </row>
    <row r="680" spans="6:21">
      <c r="F680" s="303"/>
      <c r="G680" s="303"/>
      <c r="J680" s="303"/>
      <c r="K680" s="324"/>
      <c r="L680" s="303"/>
      <c r="M680" s="303"/>
      <c r="N680" s="303"/>
      <c r="O680" s="303"/>
      <c r="P680" s="303"/>
      <c r="Q680" s="25"/>
      <c r="R680" s="25"/>
      <c r="S680" s="25"/>
      <c r="T680" s="25"/>
      <c r="U680" s="25"/>
    </row>
    <row r="681" spans="6:21">
      <c r="F681" s="303"/>
      <c r="G681" s="303"/>
      <c r="J681" s="303"/>
      <c r="K681" s="324"/>
      <c r="L681" s="303"/>
      <c r="M681" s="303"/>
      <c r="N681" s="303"/>
      <c r="O681" s="303"/>
      <c r="P681" s="303"/>
      <c r="Q681" s="25"/>
      <c r="R681" s="25"/>
      <c r="S681" s="25"/>
      <c r="T681" s="25"/>
      <c r="U681" s="25"/>
    </row>
    <row r="682" spans="6:21">
      <c r="F682" s="303"/>
      <c r="G682" s="303"/>
      <c r="J682" s="303"/>
      <c r="K682" s="324"/>
      <c r="L682" s="303"/>
      <c r="M682" s="303"/>
      <c r="N682" s="303"/>
      <c r="O682" s="303"/>
      <c r="P682" s="303"/>
      <c r="Q682" s="25"/>
      <c r="R682" s="25"/>
      <c r="S682" s="25"/>
      <c r="T682" s="25"/>
      <c r="U682" s="25"/>
    </row>
    <row r="683" spans="6:21">
      <c r="F683" s="303"/>
      <c r="G683" s="303"/>
      <c r="J683" s="303"/>
      <c r="K683" s="324"/>
      <c r="L683" s="303"/>
      <c r="M683" s="303"/>
      <c r="N683" s="303"/>
      <c r="O683" s="303"/>
      <c r="P683" s="303"/>
      <c r="Q683" s="25"/>
      <c r="R683" s="25"/>
      <c r="S683" s="25"/>
      <c r="T683" s="25"/>
      <c r="U683" s="25"/>
    </row>
    <row r="684" spans="6:21">
      <c r="F684" s="303"/>
      <c r="G684" s="303"/>
      <c r="J684" s="303"/>
      <c r="K684" s="324"/>
      <c r="L684" s="303"/>
      <c r="M684" s="303"/>
      <c r="N684" s="303"/>
      <c r="O684" s="303"/>
      <c r="P684" s="303"/>
      <c r="Q684" s="25"/>
      <c r="R684" s="25"/>
      <c r="S684" s="25"/>
      <c r="T684" s="25"/>
      <c r="U684" s="25"/>
    </row>
    <row r="685" spans="6:21">
      <c r="F685" s="303"/>
      <c r="G685" s="303"/>
      <c r="J685" s="303"/>
      <c r="K685" s="324"/>
      <c r="L685" s="303"/>
      <c r="M685" s="303"/>
      <c r="N685" s="303"/>
      <c r="O685" s="303"/>
      <c r="P685" s="303"/>
      <c r="Q685" s="25"/>
      <c r="R685" s="25"/>
      <c r="S685" s="25"/>
      <c r="T685" s="25"/>
      <c r="U685" s="25"/>
    </row>
    <row r="686" spans="6:21">
      <c r="F686" s="303"/>
      <c r="G686" s="303"/>
      <c r="J686" s="303"/>
      <c r="K686" s="324"/>
      <c r="L686" s="303"/>
      <c r="M686" s="303"/>
      <c r="N686" s="303"/>
      <c r="O686" s="303"/>
      <c r="P686" s="303"/>
      <c r="Q686" s="25"/>
      <c r="R686" s="25"/>
      <c r="S686" s="25"/>
      <c r="T686" s="25"/>
      <c r="U686" s="25"/>
    </row>
    <row r="687" spans="6:21">
      <c r="F687" s="303"/>
      <c r="G687" s="303"/>
      <c r="J687" s="303"/>
      <c r="K687" s="324"/>
      <c r="L687" s="303"/>
      <c r="M687" s="303"/>
      <c r="N687" s="303"/>
      <c r="O687" s="303"/>
      <c r="P687" s="303"/>
      <c r="Q687" s="25"/>
      <c r="R687" s="25"/>
      <c r="S687" s="25"/>
      <c r="T687" s="25"/>
      <c r="U687" s="25"/>
    </row>
    <row r="688" spans="6:21">
      <c r="F688" s="303"/>
      <c r="G688" s="303"/>
      <c r="J688" s="303"/>
      <c r="K688" s="324"/>
      <c r="L688" s="303"/>
      <c r="M688" s="303"/>
      <c r="N688" s="303"/>
      <c r="O688" s="303"/>
      <c r="P688" s="303"/>
      <c r="Q688" s="25"/>
      <c r="R688" s="25"/>
      <c r="S688" s="25"/>
      <c r="T688" s="25"/>
      <c r="U688" s="25"/>
    </row>
    <row r="689" spans="6:21">
      <c r="F689" s="303"/>
      <c r="G689" s="303"/>
      <c r="J689" s="303"/>
      <c r="K689" s="324"/>
      <c r="L689" s="303"/>
      <c r="M689" s="303"/>
      <c r="N689" s="303"/>
      <c r="O689" s="303"/>
      <c r="P689" s="303"/>
      <c r="Q689" s="25"/>
      <c r="R689" s="25"/>
      <c r="S689" s="25"/>
      <c r="T689" s="25"/>
      <c r="U689" s="25"/>
    </row>
    <row r="690" spans="6:21">
      <c r="F690" s="303"/>
      <c r="G690" s="303"/>
      <c r="J690" s="303"/>
      <c r="K690" s="324"/>
      <c r="L690" s="303"/>
      <c r="M690" s="303"/>
      <c r="N690" s="303"/>
      <c r="O690" s="303"/>
      <c r="P690" s="303"/>
      <c r="Q690" s="25"/>
      <c r="R690" s="25"/>
      <c r="S690" s="25"/>
      <c r="T690" s="25"/>
      <c r="U690" s="25"/>
    </row>
    <row r="691" spans="6:21">
      <c r="F691" s="303"/>
      <c r="G691" s="303"/>
      <c r="J691" s="303"/>
      <c r="K691" s="324"/>
      <c r="L691" s="303"/>
      <c r="M691" s="303"/>
      <c r="N691" s="303"/>
      <c r="O691" s="303"/>
      <c r="P691" s="303"/>
      <c r="Q691" s="25"/>
      <c r="R691" s="25"/>
      <c r="S691" s="25"/>
      <c r="T691" s="25"/>
      <c r="U691" s="25"/>
    </row>
    <row r="692" spans="6:21">
      <c r="F692" s="303"/>
      <c r="G692" s="303"/>
      <c r="J692" s="303"/>
      <c r="K692" s="324"/>
      <c r="L692" s="303"/>
      <c r="M692" s="303"/>
      <c r="N692" s="303"/>
      <c r="O692" s="303"/>
      <c r="P692" s="303"/>
      <c r="Q692" s="25"/>
      <c r="R692" s="25"/>
      <c r="S692" s="25"/>
      <c r="T692" s="25"/>
      <c r="U692" s="25"/>
    </row>
    <row r="693" spans="6:21">
      <c r="F693" s="303"/>
      <c r="G693" s="303"/>
      <c r="J693" s="303"/>
      <c r="K693" s="324"/>
      <c r="L693" s="303"/>
      <c r="M693" s="303"/>
      <c r="N693" s="303"/>
      <c r="O693" s="303"/>
      <c r="P693" s="303"/>
      <c r="Q693" s="25"/>
      <c r="R693" s="25"/>
      <c r="S693" s="25"/>
      <c r="T693" s="25"/>
      <c r="U693" s="25"/>
    </row>
    <row r="694" spans="6:21">
      <c r="F694" s="303"/>
      <c r="G694" s="303"/>
      <c r="J694" s="303"/>
      <c r="K694" s="324"/>
      <c r="L694" s="303"/>
      <c r="M694" s="303"/>
      <c r="N694" s="303"/>
      <c r="O694" s="303"/>
      <c r="P694" s="303"/>
      <c r="Q694" s="25"/>
      <c r="R694" s="25"/>
      <c r="S694" s="25"/>
      <c r="T694" s="25"/>
      <c r="U694" s="25"/>
    </row>
    <row r="695" spans="6:21">
      <c r="F695" s="303"/>
      <c r="G695" s="303"/>
      <c r="J695" s="303"/>
      <c r="K695" s="324"/>
      <c r="L695" s="303"/>
      <c r="M695" s="303"/>
      <c r="N695" s="303"/>
      <c r="O695" s="303"/>
      <c r="P695" s="303"/>
      <c r="Q695" s="25"/>
      <c r="R695" s="25"/>
      <c r="S695" s="25"/>
      <c r="T695" s="25"/>
      <c r="U695" s="25"/>
    </row>
    <row r="696" spans="6:21">
      <c r="F696" s="303"/>
      <c r="G696" s="303"/>
      <c r="J696" s="303"/>
      <c r="K696" s="324"/>
      <c r="L696" s="303"/>
      <c r="M696" s="303"/>
      <c r="N696" s="303"/>
      <c r="O696" s="303"/>
      <c r="P696" s="303"/>
      <c r="Q696" s="25"/>
      <c r="R696" s="25"/>
      <c r="S696" s="25"/>
      <c r="T696" s="25"/>
      <c r="U696" s="25"/>
    </row>
    <row r="697" spans="6:21">
      <c r="F697" s="303"/>
      <c r="G697" s="303"/>
      <c r="J697" s="303"/>
      <c r="K697" s="324"/>
      <c r="L697" s="303"/>
      <c r="M697" s="303"/>
      <c r="N697" s="303"/>
      <c r="O697" s="303"/>
      <c r="P697" s="303"/>
      <c r="Q697" s="25"/>
      <c r="R697" s="25"/>
      <c r="S697" s="25"/>
      <c r="T697" s="25"/>
      <c r="U697" s="25"/>
    </row>
    <row r="698" spans="6:21">
      <c r="F698" s="303"/>
      <c r="G698" s="303"/>
      <c r="J698" s="303"/>
      <c r="K698" s="324"/>
      <c r="L698" s="303"/>
      <c r="M698" s="303"/>
      <c r="N698" s="303"/>
      <c r="O698" s="303"/>
      <c r="P698" s="303"/>
      <c r="Q698" s="25"/>
      <c r="R698" s="25"/>
      <c r="S698" s="25"/>
      <c r="T698" s="25"/>
      <c r="U698" s="25"/>
    </row>
    <row r="699" spans="6:21">
      <c r="F699" s="303"/>
      <c r="G699" s="303"/>
      <c r="J699" s="303"/>
      <c r="K699" s="324"/>
      <c r="L699" s="303"/>
      <c r="M699" s="303"/>
      <c r="N699" s="303"/>
      <c r="O699" s="303"/>
      <c r="P699" s="303"/>
      <c r="Q699" s="25"/>
      <c r="R699" s="25"/>
      <c r="S699" s="25"/>
      <c r="T699" s="25"/>
      <c r="U699" s="25"/>
    </row>
    <row r="700" spans="6:21">
      <c r="F700" s="303"/>
      <c r="G700" s="303"/>
      <c r="J700" s="303"/>
      <c r="K700" s="324"/>
      <c r="L700" s="303"/>
      <c r="M700" s="303"/>
      <c r="N700" s="303"/>
      <c r="O700" s="303"/>
      <c r="P700" s="303"/>
      <c r="Q700" s="25"/>
      <c r="R700" s="25"/>
      <c r="S700" s="25"/>
      <c r="T700" s="25"/>
      <c r="U700" s="25"/>
    </row>
    <row r="701" spans="6:21">
      <c r="F701" s="303"/>
      <c r="G701" s="303"/>
      <c r="J701" s="303"/>
      <c r="K701" s="324"/>
      <c r="L701" s="303"/>
      <c r="M701" s="303"/>
      <c r="N701" s="303"/>
      <c r="O701" s="303"/>
      <c r="P701" s="303"/>
      <c r="Q701" s="25"/>
      <c r="R701" s="25"/>
      <c r="S701" s="25"/>
      <c r="T701" s="25"/>
      <c r="U701" s="25"/>
    </row>
    <row r="702" spans="6:21">
      <c r="F702" s="303"/>
      <c r="G702" s="303"/>
      <c r="J702" s="303"/>
      <c r="K702" s="324"/>
      <c r="L702" s="303"/>
      <c r="M702" s="303"/>
      <c r="N702" s="303"/>
      <c r="O702" s="303"/>
      <c r="P702" s="303"/>
      <c r="Q702" s="25"/>
      <c r="R702" s="25"/>
      <c r="S702" s="25"/>
      <c r="T702" s="25"/>
      <c r="U702" s="25"/>
    </row>
    <row r="703" spans="6:21">
      <c r="F703" s="303"/>
      <c r="G703" s="303"/>
      <c r="J703" s="303"/>
      <c r="K703" s="324"/>
      <c r="L703" s="303"/>
      <c r="M703" s="303"/>
      <c r="N703" s="303"/>
      <c r="O703" s="303"/>
      <c r="P703" s="303"/>
      <c r="Q703" s="25"/>
      <c r="R703" s="25"/>
      <c r="S703" s="25"/>
      <c r="T703" s="25"/>
      <c r="U703" s="25"/>
    </row>
    <row r="704" spans="6:21">
      <c r="F704" s="303"/>
      <c r="G704" s="303"/>
      <c r="J704" s="303"/>
      <c r="K704" s="324"/>
      <c r="L704" s="303"/>
      <c r="M704" s="303"/>
      <c r="N704" s="303"/>
      <c r="O704" s="303"/>
      <c r="P704" s="303"/>
      <c r="Q704" s="25"/>
      <c r="R704" s="25"/>
      <c r="S704" s="25"/>
      <c r="T704" s="25"/>
      <c r="U704" s="25"/>
    </row>
    <row r="705" spans="6:21">
      <c r="F705" s="303"/>
      <c r="G705" s="303"/>
      <c r="J705" s="303"/>
      <c r="K705" s="324"/>
      <c r="L705" s="303"/>
      <c r="M705" s="303"/>
      <c r="N705" s="303"/>
      <c r="O705" s="303"/>
      <c r="P705" s="303"/>
      <c r="Q705" s="25"/>
      <c r="R705" s="25"/>
      <c r="S705" s="25"/>
      <c r="T705" s="25"/>
      <c r="U705" s="25"/>
    </row>
    <row r="706" spans="6:21">
      <c r="F706" s="303"/>
      <c r="G706" s="303"/>
      <c r="J706" s="303"/>
      <c r="K706" s="324"/>
      <c r="L706" s="303"/>
      <c r="M706" s="303"/>
      <c r="N706" s="303"/>
      <c r="O706" s="303"/>
      <c r="P706" s="303"/>
      <c r="Q706" s="25"/>
      <c r="R706" s="25"/>
      <c r="S706" s="25"/>
      <c r="T706" s="25"/>
      <c r="U706" s="25"/>
    </row>
    <row r="707" spans="6:21">
      <c r="F707" s="303"/>
      <c r="G707" s="303"/>
      <c r="J707" s="303"/>
      <c r="K707" s="324"/>
      <c r="L707" s="303"/>
      <c r="M707" s="303"/>
      <c r="N707" s="303"/>
      <c r="O707" s="303"/>
      <c r="P707" s="303"/>
      <c r="Q707" s="25"/>
      <c r="R707" s="25"/>
      <c r="S707" s="25"/>
      <c r="T707" s="25"/>
      <c r="U707" s="25"/>
    </row>
    <row r="708" spans="6:21">
      <c r="F708" s="303"/>
      <c r="G708" s="303"/>
      <c r="J708" s="303"/>
      <c r="K708" s="324"/>
      <c r="L708" s="303"/>
      <c r="M708" s="303"/>
      <c r="N708" s="303"/>
      <c r="O708" s="303"/>
      <c r="P708" s="303"/>
      <c r="Q708" s="25"/>
      <c r="R708" s="25"/>
      <c r="S708" s="25"/>
      <c r="T708" s="25"/>
      <c r="U708" s="25"/>
    </row>
    <row r="709" spans="6:21">
      <c r="F709" s="303"/>
      <c r="G709" s="303"/>
      <c r="J709" s="303"/>
      <c r="K709" s="324"/>
      <c r="L709" s="303"/>
      <c r="M709" s="303"/>
      <c r="N709" s="303"/>
      <c r="O709" s="303"/>
      <c r="P709" s="303"/>
      <c r="Q709" s="25"/>
      <c r="R709" s="25"/>
      <c r="S709" s="25"/>
      <c r="T709" s="25"/>
      <c r="U709" s="25"/>
    </row>
    <row r="710" spans="6:21">
      <c r="F710" s="303"/>
      <c r="G710" s="303"/>
      <c r="J710" s="303"/>
      <c r="K710" s="324"/>
      <c r="L710" s="303"/>
      <c r="M710" s="303"/>
      <c r="N710" s="303"/>
      <c r="O710" s="303"/>
      <c r="P710" s="303"/>
      <c r="Q710" s="25"/>
      <c r="R710" s="25"/>
      <c r="S710" s="25"/>
      <c r="T710" s="25"/>
      <c r="U710" s="25"/>
    </row>
    <row r="711" spans="6:21">
      <c r="F711" s="303"/>
      <c r="G711" s="303"/>
      <c r="J711" s="303"/>
      <c r="K711" s="324"/>
      <c r="L711" s="303"/>
      <c r="M711" s="303"/>
      <c r="N711" s="303"/>
      <c r="O711" s="303"/>
      <c r="P711" s="303"/>
      <c r="Q711" s="25"/>
      <c r="R711" s="25"/>
      <c r="S711" s="25"/>
      <c r="T711" s="25"/>
      <c r="U711" s="25"/>
    </row>
    <row r="712" spans="6:21">
      <c r="F712" s="303"/>
      <c r="G712" s="303"/>
      <c r="J712" s="303"/>
      <c r="K712" s="324"/>
      <c r="L712" s="303"/>
      <c r="M712" s="303"/>
      <c r="N712" s="303"/>
      <c r="O712" s="303"/>
      <c r="P712" s="303"/>
      <c r="Q712" s="25"/>
      <c r="R712" s="25"/>
      <c r="S712" s="25"/>
      <c r="T712" s="25"/>
      <c r="U712" s="25"/>
    </row>
    <row r="713" spans="6:21">
      <c r="F713" s="303"/>
      <c r="G713" s="303"/>
      <c r="J713" s="303"/>
      <c r="K713" s="324"/>
      <c r="L713" s="303"/>
      <c r="M713" s="303"/>
      <c r="N713" s="303"/>
      <c r="O713" s="303"/>
      <c r="P713" s="303"/>
      <c r="Q713" s="25"/>
      <c r="R713" s="25"/>
      <c r="S713" s="25"/>
      <c r="T713" s="25"/>
      <c r="U713" s="25"/>
    </row>
    <row r="714" spans="6:21">
      <c r="F714" s="303"/>
      <c r="G714" s="303"/>
      <c r="J714" s="303"/>
      <c r="K714" s="324"/>
      <c r="L714" s="303"/>
      <c r="M714" s="303"/>
      <c r="N714" s="303"/>
      <c r="O714" s="303"/>
      <c r="P714" s="303"/>
      <c r="Q714" s="25"/>
      <c r="R714" s="25"/>
      <c r="S714" s="25"/>
      <c r="T714" s="25"/>
      <c r="U714" s="25"/>
    </row>
    <row r="715" spans="6:21">
      <c r="F715" s="303"/>
      <c r="G715" s="303"/>
      <c r="J715" s="303"/>
      <c r="K715" s="324"/>
      <c r="L715" s="303"/>
      <c r="M715" s="303"/>
      <c r="N715" s="303"/>
      <c r="O715" s="303"/>
      <c r="P715" s="303"/>
      <c r="Q715" s="25"/>
      <c r="R715" s="25"/>
      <c r="S715" s="25"/>
      <c r="T715" s="25"/>
      <c r="U715" s="25"/>
    </row>
    <row r="716" spans="6:21">
      <c r="F716" s="303"/>
      <c r="G716" s="303"/>
      <c r="J716" s="303"/>
      <c r="K716" s="324"/>
      <c r="L716" s="303"/>
      <c r="M716" s="303"/>
      <c r="N716" s="303"/>
      <c r="O716" s="303"/>
      <c r="P716" s="303"/>
      <c r="Q716" s="25"/>
      <c r="R716" s="25"/>
      <c r="S716" s="25"/>
      <c r="T716" s="25"/>
      <c r="U716" s="25"/>
    </row>
    <row r="717" spans="6:21">
      <c r="F717" s="303"/>
      <c r="G717" s="303"/>
      <c r="J717" s="303"/>
      <c r="K717" s="324"/>
      <c r="L717" s="303"/>
      <c r="M717" s="303"/>
      <c r="N717" s="303"/>
      <c r="O717" s="303"/>
      <c r="P717" s="303"/>
      <c r="Q717" s="25"/>
      <c r="R717" s="25"/>
      <c r="S717" s="25"/>
      <c r="T717" s="25"/>
      <c r="U717" s="25"/>
    </row>
    <row r="718" spans="6:21">
      <c r="F718" s="303"/>
      <c r="G718" s="303"/>
      <c r="J718" s="303"/>
      <c r="K718" s="324"/>
      <c r="L718" s="303"/>
      <c r="M718" s="303"/>
      <c r="N718" s="303"/>
      <c r="O718" s="303"/>
      <c r="P718" s="303"/>
      <c r="Q718" s="25"/>
      <c r="R718" s="25"/>
      <c r="S718" s="25"/>
      <c r="T718" s="25"/>
      <c r="U718" s="25"/>
    </row>
    <row r="719" spans="6:21">
      <c r="F719" s="303"/>
      <c r="G719" s="303"/>
      <c r="J719" s="303"/>
      <c r="K719" s="324"/>
      <c r="L719" s="303"/>
      <c r="M719" s="303"/>
      <c r="N719" s="303"/>
      <c r="O719" s="303"/>
      <c r="P719" s="303"/>
      <c r="Q719" s="25"/>
      <c r="R719" s="25"/>
      <c r="S719" s="25"/>
      <c r="T719" s="25"/>
      <c r="U719" s="25"/>
    </row>
    <row r="720" spans="6:21">
      <c r="F720" s="303"/>
      <c r="G720" s="303"/>
      <c r="J720" s="303"/>
      <c r="K720" s="324"/>
      <c r="L720" s="303"/>
      <c r="M720" s="303"/>
      <c r="N720" s="303"/>
      <c r="O720" s="303"/>
      <c r="P720" s="303"/>
      <c r="Q720" s="25"/>
      <c r="R720" s="25"/>
      <c r="S720" s="25"/>
      <c r="T720" s="25"/>
      <c r="U720" s="25"/>
    </row>
    <row r="721" spans="6:21">
      <c r="F721" s="303"/>
      <c r="G721" s="303"/>
      <c r="J721" s="303"/>
      <c r="K721" s="324"/>
      <c r="L721" s="303"/>
      <c r="M721" s="303"/>
      <c r="N721" s="303"/>
      <c r="O721" s="303"/>
      <c r="P721" s="303"/>
      <c r="Q721" s="25"/>
      <c r="R721" s="25"/>
      <c r="S721" s="25"/>
      <c r="T721" s="25"/>
      <c r="U721" s="25"/>
    </row>
    <row r="722" spans="6:21">
      <c r="F722" s="303"/>
      <c r="G722" s="303"/>
      <c r="J722" s="303"/>
      <c r="K722" s="324"/>
      <c r="L722" s="303"/>
      <c r="M722" s="303"/>
      <c r="N722" s="303"/>
      <c r="O722" s="303"/>
      <c r="P722" s="303"/>
      <c r="Q722" s="25"/>
      <c r="R722" s="25"/>
      <c r="S722" s="25"/>
      <c r="T722" s="25"/>
      <c r="U722" s="25"/>
    </row>
    <row r="723" spans="6:21">
      <c r="F723" s="303"/>
      <c r="G723" s="303"/>
      <c r="J723" s="303"/>
      <c r="K723" s="324"/>
      <c r="L723" s="303"/>
      <c r="M723" s="303"/>
      <c r="N723" s="303"/>
      <c r="O723" s="303"/>
      <c r="P723" s="303"/>
      <c r="Q723" s="25"/>
      <c r="R723" s="25"/>
      <c r="S723" s="25"/>
      <c r="T723" s="25"/>
      <c r="U723" s="25"/>
    </row>
    <row r="724" spans="6:21">
      <c r="F724" s="303"/>
      <c r="G724" s="303"/>
      <c r="J724" s="303"/>
      <c r="K724" s="324"/>
      <c r="L724" s="303"/>
      <c r="M724" s="303"/>
      <c r="N724" s="303"/>
      <c r="O724" s="303"/>
      <c r="P724" s="303"/>
      <c r="Q724" s="25"/>
      <c r="R724" s="25"/>
      <c r="S724" s="25"/>
      <c r="T724" s="25"/>
      <c r="U724" s="25"/>
    </row>
    <row r="725" spans="6:21">
      <c r="F725" s="303"/>
      <c r="G725" s="303"/>
      <c r="J725" s="303"/>
      <c r="K725" s="324"/>
      <c r="L725" s="303"/>
      <c r="M725" s="303"/>
      <c r="N725" s="303"/>
      <c r="O725" s="303"/>
      <c r="P725" s="303"/>
      <c r="Q725" s="25"/>
      <c r="R725" s="25"/>
      <c r="S725" s="25"/>
      <c r="T725" s="25"/>
      <c r="U725" s="25"/>
    </row>
    <row r="726" spans="6:21">
      <c r="F726" s="303"/>
      <c r="G726" s="303"/>
      <c r="J726" s="303"/>
      <c r="K726" s="324"/>
      <c r="L726" s="303"/>
      <c r="M726" s="303"/>
      <c r="N726" s="303"/>
      <c r="O726" s="303"/>
      <c r="P726" s="303"/>
      <c r="Q726" s="25"/>
      <c r="R726" s="25"/>
      <c r="S726" s="25"/>
      <c r="T726" s="25"/>
      <c r="U726" s="25"/>
    </row>
    <row r="727" spans="6:21">
      <c r="F727" s="303"/>
      <c r="G727" s="303"/>
      <c r="J727" s="303"/>
      <c r="K727" s="324"/>
      <c r="L727" s="303"/>
      <c r="M727" s="303"/>
      <c r="N727" s="303"/>
      <c r="O727" s="303"/>
      <c r="P727" s="303"/>
      <c r="Q727" s="25"/>
      <c r="R727" s="25"/>
      <c r="S727" s="25"/>
      <c r="T727" s="25"/>
      <c r="U727" s="25"/>
    </row>
    <row r="728" spans="6:21">
      <c r="F728" s="303"/>
      <c r="G728" s="303"/>
      <c r="J728" s="303"/>
      <c r="K728" s="324"/>
      <c r="L728" s="303"/>
      <c r="M728" s="303"/>
      <c r="N728" s="303"/>
      <c r="O728" s="303"/>
      <c r="P728" s="303"/>
      <c r="Q728" s="25"/>
      <c r="R728" s="25"/>
      <c r="S728" s="25"/>
      <c r="T728" s="25"/>
      <c r="U728" s="25"/>
    </row>
    <row r="729" spans="6:21">
      <c r="F729" s="303"/>
      <c r="G729" s="303"/>
      <c r="J729" s="303"/>
      <c r="K729" s="324"/>
      <c r="L729" s="303"/>
      <c r="M729" s="303"/>
      <c r="N729" s="303"/>
      <c r="O729" s="303"/>
      <c r="P729" s="303"/>
      <c r="Q729" s="25"/>
      <c r="R729" s="25"/>
      <c r="S729" s="25"/>
      <c r="T729" s="25"/>
      <c r="U729" s="25"/>
    </row>
    <row r="730" spans="6:21">
      <c r="F730" s="303"/>
      <c r="G730" s="303"/>
      <c r="J730" s="303"/>
      <c r="K730" s="324"/>
      <c r="L730" s="303"/>
      <c r="M730" s="303"/>
      <c r="N730" s="303"/>
      <c r="O730" s="303"/>
      <c r="P730" s="303"/>
      <c r="Q730" s="25"/>
      <c r="R730" s="25"/>
      <c r="S730" s="25"/>
      <c r="T730" s="25"/>
      <c r="U730" s="25"/>
    </row>
    <row r="731" spans="6:21">
      <c r="F731" s="303"/>
      <c r="G731" s="303"/>
      <c r="J731" s="303"/>
      <c r="K731" s="324"/>
      <c r="L731" s="303"/>
      <c r="M731" s="303"/>
      <c r="N731" s="303"/>
      <c r="O731" s="303"/>
      <c r="P731" s="303"/>
      <c r="Q731" s="25"/>
      <c r="R731" s="25"/>
      <c r="S731" s="25"/>
      <c r="T731" s="25"/>
      <c r="U731" s="25"/>
    </row>
    <row r="732" spans="6:21">
      <c r="F732" s="303"/>
      <c r="G732" s="303"/>
      <c r="J732" s="303"/>
      <c r="K732" s="324"/>
      <c r="L732" s="303"/>
      <c r="M732" s="303"/>
      <c r="N732" s="303"/>
      <c r="O732" s="303"/>
      <c r="P732" s="303"/>
      <c r="Q732" s="25"/>
      <c r="R732" s="25"/>
      <c r="S732" s="25"/>
      <c r="T732" s="25"/>
      <c r="U732" s="25"/>
    </row>
    <row r="733" spans="6:21">
      <c r="F733" s="303"/>
      <c r="G733" s="303"/>
      <c r="J733" s="303"/>
      <c r="K733" s="324"/>
      <c r="L733" s="303"/>
      <c r="M733" s="303"/>
      <c r="N733" s="303"/>
      <c r="O733" s="303"/>
      <c r="P733" s="303"/>
      <c r="Q733" s="25"/>
      <c r="R733" s="25"/>
      <c r="S733" s="25"/>
      <c r="T733" s="25"/>
      <c r="U733" s="25"/>
    </row>
    <row r="734" spans="6:21">
      <c r="F734" s="303"/>
      <c r="G734" s="303"/>
      <c r="J734" s="303"/>
      <c r="K734" s="324"/>
      <c r="L734" s="303"/>
      <c r="M734" s="303"/>
      <c r="N734" s="303"/>
      <c r="O734" s="303"/>
      <c r="P734" s="303"/>
      <c r="Q734" s="25"/>
      <c r="R734" s="25"/>
      <c r="S734" s="25"/>
      <c r="T734" s="25"/>
      <c r="U734" s="25"/>
    </row>
    <row r="735" spans="6:21">
      <c r="F735" s="303"/>
      <c r="G735" s="303"/>
      <c r="J735" s="303"/>
      <c r="K735" s="324"/>
      <c r="L735" s="303"/>
      <c r="M735" s="303"/>
      <c r="N735" s="303"/>
      <c r="O735" s="303"/>
      <c r="P735" s="303"/>
      <c r="Q735" s="25"/>
      <c r="R735" s="25"/>
      <c r="S735" s="25"/>
      <c r="T735" s="25"/>
      <c r="U735" s="25"/>
    </row>
    <row r="736" spans="6:21">
      <c r="F736" s="303"/>
      <c r="G736" s="303"/>
      <c r="J736" s="303"/>
      <c r="K736" s="324"/>
      <c r="L736" s="303"/>
      <c r="M736" s="303"/>
      <c r="N736" s="303"/>
      <c r="O736" s="303"/>
      <c r="P736" s="303"/>
      <c r="Q736" s="25"/>
      <c r="R736" s="25"/>
      <c r="S736" s="25"/>
      <c r="T736" s="25"/>
      <c r="U736" s="25"/>
    </row>
    <row r="737" spans="6:21">
      <c r="F737" s="303"/>
      <c r="G737" s="303"/>
      <c r="J737" s="303"/>
      <c r="K737" s="324"/>
      <c r="L737" s="303"/>
      <c r="M737" s="303"/>
      <c r="N737" s="303"/>
      <c r="O737" s="303"/>
      <c r="P737" s="303"/>
      <c r="Q737" s="25"/>
      <c r="R737" s="25"/>
      <c r="S737" s="25"/>
      <c r="T737" s="25"/>
      <c r="U737" s="25"/>
    </row>
    <row r="738" spans="6:21">
      <c r="F738" s="303"/>
      <c r="G738" s="303"/>
      <c r="J738" s="303"/>
      <c r="K738" s="324"/>
      <c r="L738" s="303"/>
      <c r="M738" s="303"/>
      <c r="N738" s="303"/>
      <c r="O738" s="303"/>
      <c r="P738" s="303"/>
      <c r="Q738" s="25"/>
      <c r="R738" s="25"/>
      <c r="S738" s="25"/>
      <c r="T738" s="25"/>
      <c r="U738" s="25"/>
    </row>
    <row r="739" spans="6:21">
      <c r="F739" s="303"/>
      <c r="G739" s="303"/>
      <c r="J739" s="303"/>
      <c r="K739" s="324"/>
      <c r="L739" s="303"/>
      <c r="M739" s="303"/>
      <c r="N739" s="303"/>
      <c r="O739" s="303"/>
      <c r="P739" s="303"/>
      <c r="Q739" s="25"/>
      <c r="R739" s="25"/>
      <c r="S739" s="25"/>
      <c r="T739" s="25"/>
      <c r="U739" s="25"/>
    </row>
    <row r="740" spans="6:21">
      <c r="F740" s="303"/>
      <c r="G740" s="303"/>
      <c r="J740" s="303"/>
      <c r="K740" s="324"/>
      <c r="L740" s="303"/>
      <c r="M740" s="303"/>
      <c r="N740" s="303"/>
      <c r="O740" s="303"/>
      <c r="P740" s="303"/>
      <c r="Q740" s="25"/>
      <c r="R740" s="25"/>
      <c r="S740" s="25"/>
      <c r="T740" s="25"/>
      <c r="U740" s="25"/>
    </row>
    <row r="741" spans="6:21">
      <c r="F741" s="303"/>
      <c r="G741" s="303"/>
      <c r="J741" s="303"/>
      <c r="K741" s="324"/>
      <c r="L741" s="303"/>
      <c r="M741" s="303"/>
      <c r="N741" s="303"/>
      <c r="O741" s="303"/>
      <c r="P741" s="303"/>
      <c r="Q741" s="25"/>
      <c r="R741" s="25"/>
      <c r="S741" s="25"/>
      <c r="T741" s="25"/>
      <c r="U741" s="25"/>
    </row>
    <row r="742" spans="6:21">
      <c r="F742" s="303"/>
      <c r="G742" s="303"/>
      <c r="J742" s="303"/>
      <c r="K742" s="324"/>
      <c r="L742" s="303"/>
      <c r="M742" s="303"/>
      <c r="N742" s="303"/>
      <c r="O742" s="303"/>
      <c r="P742" s="303"/>
      <c r="Q742" s="25"/>
      <c r="R742" s="25"/>
      <c r="S742" s="25"/>
      <c r="T742" s="25"/>
      <c r="U742" s="25"/>
    </row>
    <row r="743" spans="6:21">
      <c r="F743" s="303"/>
      <c r="G743" s="303"/>
      <c r="J743" s="303"/>
      <c r="K743" s="324"/>
      <c r="L743" s="303"/>
      <c r="M743" s="303"/>
      <c r="N743" s="303"/>
      <c r="O743" s="303"/>
      <c r="P743" s="303"/>
      <c r="Q743" s="25"/>
      <c r="R743" s="25"/>
      <c r="S743" s="25"/>
      <c r="T743" s="25"/>
      <c r="U743" s="25"/>
    </row>
    <row r="744" spans="6:21">
      <c r="F744" s="303"/>
      <c r="G744" s="303"/>
      <c r="J744" s="303"/>
      <c r="K744" s="324"/>
      <c r="L744" s="303"/>
      <c r="M744" s="303"/>
      <c r="N744" s="303"/>
      <c r="O744" s="303"/>
      <c r="P744" s="303"/>
      <c r="Q744" s="25"/>
      <c r="R744" s="25"/>
      <c r="S744" s="25"/>
      <c r="T744" s="25"/>
      <c r="U744" s="25"/>
    </row>
    <row r="745" spans="6:21">
      <c r="F745" s="303"/>
      <c r="G745" s="303"/>
      <c r="J745" s="303"/>
      <c r="K745" s="324"/>
      <c r="L745" s="303"/>
      <c r="M745" s="303"/>
      <c r="N745" s="303"/>
      <c r="O745" s="303"/>
      <c r="P745" s="303"/>
      <c r="Q745" s="25"/>
      <c r="R745" s="25"/>
      <c r="S745" s="25"/>
      <c r="T745" s="25"/>
      <c r="U745" s="25"/>
    </row>
    <row r="746" spans="6:21">
      <c r="F746" s="303"/>
      <c r="G746" s="303"/>
      <c r="J746" s="303"/>
      <c r="K746" s="324"/>
      <c r="L746" s="303"/>
      <c r="M746" s="303"/>
      <c r="N746" s="303"/>
      <c r="O746" s="303"/>
      <c r="P746" s="303"/>
      <c r="Q746" s="25"/>
      <c r="R746" s="25"/>
      <c r="S746" s="25"/>
      <c r="T746" s="25"/>
      <c r="U746" s="25"/>
    </row>
    <row r="747" spans="6:21">
      <c r="F747" s="303"/>
      <c r="G747" s="303"/>
      <c r="J747" s="303"/>
      <c r="K747" s="324"/>
      <c r="L747" s="303"/>
      <c r="M747" s="303"/>
      <c r="N747" s="303"/>
      <c r="O747" s="303"/>
      <c r="P747" s="303"/>
      <c r="Q747" s="25"/>
      <c r="R747" s="25"/>
      <c r="S747" s="25"/>
      <c r="T747" s="25"/>
      <c r="U747" s="25"/>
    </row>
    <row r="748" spans="6:21">
      <c r="F748" s="303"/>
      <c r="G748" s="303"/>
      <c r="J748" s="303"/>
      <c r="K748" s="324"/>
      <c r="L748" s="303"/>
      <c r="M748" s="303"/>
      <c r="N748" s="303"/>
      <c r="O748" s="303"/>
      <c r="P748" s="303"/>
      <c r="Q748" s="25"/>
      <c r="R748" s="25"/>
      <c r="S748" s="25"/>
      <c r="T748" s="25"/>
      <c r="U748" s="25"/>
    </row>
    <row r="749" spans="6:21">
      <c r="F749" s="303"/>
      <c r="G749" s="303"/>
      <c r="J749" s="303"/>
      <c r="K749" s="324"/>
      <c r="L749" s="303"/>
      <c r="M749" s="303"/>
      <c r="N749" s="303"/>
      <c r="O749" s="303"/>
      <c r="P749" s="303"/>
      <c r="Q749" s="25"/>
      <c r="R749" s="25"/>
      <c r="S749" s="25"/>
      <c r="T749" s="25"/>
      <c r="U749" s="25"/>
    </row>
    <row r="750" spans="6:21">
      <c r="F750" s="303"/>
      <c r="G750" s="303"/>
      <c r="J750" s="303"/>
      <c r="K750" s="324"/>
      <c r="L750" s="303"/>
      <c r="M750" s="303"/>
      <c r="N750" s="303"/>
      <c r="O750" s="303"/>
      <c r="P750" s="303"/>
      <c r="Q750" s="25"/>
      <c r="R750" s="25"/>
      <c r="S750" s="25"/>
      <c r="T750" s="25"/>
      <c r="U750" s="25"/>
    </row>
    <row r="751" spans="6:21">
      <c r="F751" s="303"/>
      <c r="G751" s="303"/>
      <c r="J751" s="303"/>
      <c r="K751" s="324"/>
      <c r="L751" s="303"/>
      <c r="M751" s="303"/>
      <c r="N751" s="303"/>
      <c r="O751" s="303"/>
      <c r="P751" s="303"/>
      <c r="Q751" s="25"/>
      <c r="R751" s="25"/>
      <c r="S751" s="25"/>
      <c r="T751" s="25"/>
      <c r="U751" s="25"/>
    </row>
    <row r="752" spans="6:21">
      <c r="F752" s="303"/>
      <c r="G752" s="303"/>
      <c r="J752" s="303"/>
      <c r="K752" s="324"/>
      <c r="L752" s="303"/>
      <c r="M752" s="303"/>
      <c r="N752" s="303"/>
      <c r="O752" s="303"/>
      <c r="P752" s="303"/>
      <c r="Q752" s="25"/>
      <c r="R752" s="25"/>
      <c r="S752" s="25"/>
      <c r="T752" s="25"/>
      <c r="U752" s="25"/>
    </row>
    <row r="753" spans="6:21">
      <c r="F753" s="303"/>
      <c r="G753" s="303"/>
      <c r="J753" s="303"/>
      <c r="K753" s="324"/>
      <c r="L753" s="303"/>
      <c r="M753" s="303"/>
      <c r="N753" s="303"/>
      <c r="O753" s="303"/>
      <c r="P753" s="303"/>
      <c r="Q753" s="25"/>
      <c r="R753" s="25"/>
      <c r="S753" s="25"/>
      <c r="T753" s="25"/>
      <c r="U753" s="25"/>
    </row>
    <row r="754" spans="6:21">
      <c r="F754" s="303"/>
      <c r="G754" s="303"/>
      <c r="J754" s="303"/>
      <c r="K754" s="324"/>
      <c r="L754" s="303"/>
      <c r="M754" s="303"/>
      <c r="N754" s="303"/>
      <c r="O754" s="303"/>
      <c r="P754" s="303"/>
      <c r="Q754" s="25"/>
      <c r="R754" s="25"/>
      <c r="S754" s="25"/>
      <c r="T754" s="25"/>
      <c r="U754" s="25"/>
    </row>
    <row r="755" spans="6:21">
      <c r="F755" s="303"/>
      <c r="G755" s="303"/>
      <c r="J755" s="303"/>
      <c r="K755" s="324"/>
      <c r="L755" s="303"/>
      <c r="M755" s="303"/>
      <c r="N755" s="303"/>
      <c r="O755" s="303"/>
      <c r="P755" s="303"/>
      <c r="Q755" s="25"/>
      <c r="R755" s="25"/>
      <c r="S755" s="25"/>
      <c r="T755" s="25"/>
      <c r="U755" s="25"/>
    </row>
    <row r="756" spans="6:21">
      <c r="F756" s="303"/>
      <c r="G756" s="303"/>
      <c r="J756" s="303"/>
      <c r="K756" s="324"/>
      <c r="L756" s="303"/>
      <c r="M756" s="303"/>
      <c r="N756" s="303"/>
      <c r="O756" s="303"/>
      <c r="P756" s="303"/>
      <c r="Q756" s="25"/>
      <c r="R756" s="25"/>
      <c r="S756" s="25"/>
      <c r="T756" s="25"/>
      <c r="U756" s="25"/>
    </row>
    <row r="757" spans="6:21">
      <c r="F757" s="303"/>
      <c r="G757" s="303"/>
      <c r="J757" s="303"/>
      <c r="K757" s="324"/>
      <c r="L757" s="303"/>
      <c r="M757" s="303"/>
      <c r="N757" s="303"/>
      <c r="O757" s="303"/>
      <c r="P757" s="303"/>
      <c r="Q757" s="25"/>
      <c r="R757" s="25"/>
      <c r="S757" s="25"/>
      <c r="T757" s="25"/>
      <c r="U757" s="25"/>
    </row>
    <row r="758" spans="6:21">
      <c r="F758" s="303"/>
      <c r="G758" s="303"/>
      <c r="J758" s="303"/>
      <c r="K758" s="324"/>
      <c r="L758" s="303"/>
      <c r="M758" s="303"/>
      <c r="N758" s="303"/>
      <c r="O758" s="303"/>
      <c r="P758" s="303"/>
      <c r="Q758" s="25"/>
      <c r="R758" s="25"/>
      <c r="S758" s="25"/>
      <c r="T758" s="25"/>
      <c r="U758" s="25"/>
    </row>
    <row r="759" spans="6:21">
      <c r="F759" s="303"/>
      <c r="G759" s="303"/>
      <c r="J759" s="303"/>
      <c r="K759" s="324"/>
      <c r="L759" s="303"/>
      <c r="M759" s="303"/>
      <c r="N759" s="303"/>
      <c r="O759" s="303"/>
      <c r="P759" s="303"/>
      <c r="Q759" s="25"/>
      <c r="R759" s="25"/>
      <c r="S759" s="25"/>
      <c r="T759" s="25"/>
      <c r="U759" s="25"/>
    </row>
    <row r="760" spans="6:21">
      <c r="F760" s="303"/>
      <c r="G760" s="303"/>
      <c r="J760" s="303"/>
      <c r="K760" s="324"/>
      <c r="L760" s="303"/>
      <c r="M760" s="303"/>
      <c r="N760" s="303"/>
      <c r="O760" s="303"/>
      <c r="P760" s="303"/>
      <c r="Q760" s="25"/>
      <c r="R760" s="25"/>
      <c r="S760" s="25"/>
      <c r="T760" s="25"/>
      <c r="U760" s="25"/>
    </row>
    <row r="761" spans="6:21">
      <c r="F761" s="303"/>
      <c r="G761" s="303"/>
      <c r="J761" s="303"/>
      <c r="K761" s="324"/>
      <c r="L761" s="303"/>
      <c r="M761" s="303"/>
      <c r="N761" s="303"/>
      <c r="O761" s="303"/>
      <c r="P761" s="303"/>
      <c r="Q761" s="25"/>
      <c r="R761" s="25"/>
      <c r="S761" s="25"/>
      <c r="T761" s="25"/>
      <c r="U761" s="25"/>
    </row>
    <row r="762" spans="6:21">
      <c r="F762" s="303"/>
      <c r="G762" s="303"/>
      <c r="J762" s="303"/>
      <c r="K762" s="324"/>
      <c r="L762" s="303"/>
      <c r="M762" s="303"/>
      <c r="N762" s="303"/>
      <c r="O762" s="303"/>
      <c r="P762" s="303"/>
      <c r="Q762" s="25"/>
      <c r="R762" s="25"/>
      <c r="S762" s="25"/>
      <c r="T762" s="25"/>
      <c r="U762" s="25"/>
    </row>
    <row r="763" spans="6:21">
      <c r="F763" s="303"/>
      <c r="G763" s="303"/>
      <c r="J763" s="303"/>
      <c r="K763" s="324"/>
      <c r="L763" s="303"/>
      <c r="M763" s="303"/>
      <c r="N763" s="303"/>
      <c r="O763" s="303"/>
      <c r="P763" s="303"/>
      <c r="Q763" s="25"/>
      <c r="R763" s="25"/>
      <c r="S763" s="25"/>
      <c r="T763" s="25"/>
      <c r="U763" s="25"/>
    </row>
    <row r="764" spans="6:21">
      <c r="F764" s="303"/>
      <c r="G764" s="303"/>
      <c r="J764" s="303"/>
      <c r="K764" s="324"/>
      <c r="L764" s="303"/>
      <c r="M764" s="303"/>
      <c r="N764" s="303"/>
      <c r="O764" s="303"/>
      <c r="P764" s="303"/>
      <c r="Q764" s="25"/>
      <c r="R764" s="25"/>
      <c r="S764" s="25"/>
      <c r="T764" s="25"/>
      <c r="U764" s="25"/>
    </row>
    <row r="765" spans="6:21">
      <c r="F765" s="303"/>
      <c r="G765" s="303"/>
      <c r="J765" s="303"/>
      <c r="K765" s="324"/>
      <c r="L765" s="303"/>
      <c r="M765" s="303"/>
      <c r="N765" s="303"/>
      <c r="O765" s="303"/>
      <c r="P765" s="303"/>
      <c r="Q765" s="25"/>
      <c r="R765" s="25"/>
      <c r="S765" s="25"/>
      <c r="T765" s="25"/>
      <c r="U765" s="25"/>
    </row>
    <row r="766" spans="6:21">
      <c r="F766" s="303"/>
      <c r="G766" s="303"/>
      <c r="J766" s="303"/>
      <c r="K766" s="324"/>
      <c r="L766" s="303"/>
      <c r="M766" s="303"/>
      <c r="N766" s="303"/>
      <c r="O766" s="303"/>
      <c r="P766" s="303"/>
      <c r="Q766" s="25"/>
      <c r="R766" s="25"/>
      <c r="S766" s="25"/>
      <c r="T766" s="25"/>
      <c r="U766" s="25"/>
    </row>
    <row r="767" spans="6:21">
      <c r="F767" s="303"/>
      <c r="G767" s="303"/>
      <c r="J767" s="303"/>
      <c r="K767" s="324"/>
      <c r="L767" s="303"/>
      <c r="M767" s="303"/>
      <c r="N767" s="303"/>
      <c r="O767" s="303"/>
      <c r="P767" s="303"/>
      <c r="Q767" s="25"/>
      <c r="R767" s="25"/>
      <c r="S767" s="25"/>
      <c r="T767" s="25"/>
      <c r="U767" s="25"/>
    </row>
    <row r="768" spans="6:21">
      <c r="F768" s="303"/>
      <c r="G768" s="303"/>
      <c r="J768" s="303"/>
      <c r="K768" s="324"/>
      <c r="L768" s="303"/>
      <c r="M768" s="303"/>
      <c r="N768" s="303"/>
      <c r="O768" s="303"/>
      <c r="P768" s="303"/>
      <c r="Q768" s="25"/>
      <c r="R768" s="25"/>
      <c r="S768" s="25"/>
      <c r="T768" s="25"/>
      <c r="U768" s="25"/>
    </row>
    <row r="769" spans="6:21">
      <c r="F769" s="303"/>
      <c r="G769" s="303"/>
      <c r="J769" s="303"/>
      <c r="K769" s="324"/>
      <c r="L769" s="303"/>
      <c r="M769" s="303"/>
      <c r="N769" s="303"/>
      <c r="O769" s="303"/>
      <c r="P769" s="303"/>
      <c r="Q769" s="25"/>
      <c r="R769" s="25"/>
      <c r="S769" s="25"/>
      <c r="T769" s="25"/>
      <c r="U769" s="25"/>
    </row>
    <row r="770" spans="6:21">
      <c r="F770" s="303"/>
      <c r="G770" s="303"/>
      <c r="J770" s="303"/>
      <c r="K770" s="324"/>
      <c r="L770" s="303"/>
      <c r="M770" s="303"/>
      <c r="N770" s="303"/>
      <c r="O770" s="303"/>
      <c r="P770" s="303"/>
      <c r="Q770" s="25"/>
      <c r="R770" s="25"/>
      <c r="S770" s="25"/>
      <c r="T770" s="25"/>
      <c r="U770" s="25"/>
    </row>
    <row r="771" spans="6:21">
      <c r="F771" s="303"/>
      <c r="G771" s="303"/>
      <c r="J771" s="303"/>
      <c r="K771" s="324"/>
      <c r="L771" s="303"/>
      <c r="M771" s="303"/>
      <c r="N771" s="303"/>
      <c r="O771" s="303"/>
      <c r="P771" s="303"/>
      <c r="Q771" s="25"/>
      <c r="R771" s="25"/>
      <c r="S771" s="25"/>
      <c r="T771" s="25"/>
      <c r="U771" s="25"/>
    </row>
    <row r="772" spans="6:21">
      <c r="F772" s="303"/>
      <c r="G772" s="303"/>
      <c r="J772" s="303"/>
      <c r="K772" s="324"/>
      <c r="L772" s="303"/>
      <c r="M772" s="303"/>
      <c r="N772" s="303"/>
      <c r="O772" s="303"/>
      <c r="P772" s="303"/>
      <c r="Q772" s="25"/>
      <c r="R772" s="25"/>
      <c r="S772" s="25"/>
      <c r="T772" s="25"/>
      <c r="U772" s="25"/>
    </row>
    <row r="773" spans="6:21">
      <c r="F773" s="303"/>
      <c r="G773" s="303"/>
      <c r="J773" s="303"/>
      <c r="K773" s="324"/>
      <c r="L773" s="303"/>
      <c r="M773" s="303"/>
      <c r="N773" s="303"/>
      <c r="O773" s="303"/>
      <c r="P773" s="303"/>
      <c r="Q773" s="25"/>
      <c r="R773" s="25"/>
      <c r="S773" s="25"/>
      <c r="T773" s="25"/>
      <c r="U773" s="25"/>
    </row>
    <row r="774" spans="6:21">
      <c r="F774" s="303"/>
      <c r="G774" s="303"/>
      <c r="J774" s="303"/>
      <c r="K774" s="324"/>
      <c r="L774" s="303"/>
      <c r="M774" s="303"/>
      <c r="N774" s="303"/>
      <c r="O774" s="303"/>
      <c r="P774" s="303"/>
      <c r="Q774" s="25"/>
      <c r="R774" s="25"/>
      <c r="S774" s="25"/>
      <c r="T774" s="25"/>
      <c r="U774" s="25"/>
    </row>
    <row r="775" spans="6:21">
      <c r="F775" s="303"/>
      <c r="G775" s="303"/>
      <c r="J775" s="303"/>
      <c r="K775" s="324"/>
      <c r="L775" s="303"/>
      <c r="M775" s="303"/>
      <c r="N775" s="303"/>
      <c r="O775" s="303"/>
      <c r="P775" s="303"/>
      <c r="Q775" s="25"/>
      <c r="R775" s="25"/>
      <c r="S775" s="25"/>
      <c r="T775" s="25"/>
      <c r="U775" s="25"/>
    </row>
    <row r="776" spans="6:21">
      <c r="F776" s="303"/>
      <c r="G776" s="303"/>
      <c r="J776" s="303"/>
      <c r="K776" s="324"/>
      <c r="L776" s="303"/>
      <c r="M776" s="303"/>
      <c r="N776" s="303"/>
      <c r="O776" s="303"/>
      <c r="P776" s="303"/>
      <c r="Q776" s="25"/>
      <c r="R776" s="25"/>
      <c r="S776" s="25"/>
      <c r="T776" s="25"/>
      <c r="U776" s="25"/>
    </row>
    <row r="777" spans="6:21">
      <c r="F777" s="303"/>
      <c r="G777" s="303"/>
      <c r="J777" s="303"/>
      <c r="K777" s="324"/>
      <c r="L777" s="303"/>
      <c r="M777" s="303"/>
      <c r="N777" s="303"/>
      <c r="O777" s="303"/>
      <c r="P777" s="303"/>
      <c r="Q777" s="25"/>
      <c r="R777" s="25"/>
      <c r="S777" s="25"/>
      <c r="T777" s="25"/>
      <c r="U777" s="25"/>
    </row>
    <row r="778" spans="6:21">
      <c r="F778" s="303"/>
      <c r="G778" s="303"/>
      <c r="J778" s="303"/>
      <c r="K778" s="324"/>
      <c r="L778" s="303"/>
      <c r="M778" s="303"/>
      <c r="N778" s="303"/>
      <c r="O778" s="303"/>
      <c r="P778" s="303"/>
      <c r="Q778" s="25"/>
      <c r="R778" s="25"/>
      <c r="S778" s="25"/>
      <c r="T778" s="25"/>
      <c r="U778" s="25"/>
    </row>
    <row r="779" spans="6:21">
      <c r="F779" s="303"/>
      <c r="G779" s="303"/>
      <c r="J779" s="303"/>
      <c r="K779" s="324"/>
      <c r="L779" s="303"/>
      <c r="M779" s="303"/>
      <c r="N779" s="303"/>
      <c r="O779" s="303"/>
      <c r="P779" s="303"/>
      <c r="Q779" s="25"/>
      <c r="R779" s="25"/>
      <c r="S779" s="25"/>
      <c r="T779" s="25"/>
      <c r="U779" s="25"/>
    </row>
    <row r="780" spans="6:21">
      <c r="F780" s="303"/>
      <c r="G780" s="303"/>
      <c r="J780" s="303"/>
      <c r="K780" s="324"/>
      <c r="L780" s="303"/>
      <c r="M780" s="303"/>
      <c r="N780" s="303"/>
      <c r="O780" s="303"/>
      <c r="P780" s="303"/>
      <c r="Q780" s="25"/>
      <c r="R780" s="25"/>
      <c r="S780" s="25"/>
      <c r="T780" s="25"/>
      <c r="U780" s="25"/>
    </row>
    <row r="781" spans="6:21">
      <c r="F781" s="303"/>
      <c r="G781" s="303"/>
      <c r="J781" s="303"/>
      <c r="K781" s="324"/>
      <c r="L781" s="303"/>
      <c r="M781" s="303"/>
      <c r="N781" s="303"/>
      <c r="O781" s="303"/>
      <c r="P781" s="303"/>
      <c r="Q781" s="25"/>
      <c r="R781" s="25"/>
      <c r="S781" s="25"/>
      <c r="T781" s="25"/>
      <c r="U781" s="25"/>
    </row>
    <row r="782" spans="6:21">
      <c r="F782" s="303"/>
      <c r="G782" s="303"/>
      <c r="J782" s="303"/>
      <c r="K782" s="324"/>
      <c r="L782" s="303"/>
      <c r="M782" s="303"/>
      <c r="N782" s="303"/>
      <c r="O782" s="303"/>
      <c r="P782" s="303"/>
      <c r="Q782" s="25"/>
      <c r="R782" s="25"/>
      <c r="S782" s="25"/>
      <c r="T782" s="25"/>
      <c r="U782" s="25"/>
    </row>
    <row r="783" spans="6:21">
      <c r="F783" s="303"/>
      <c r="G783" s="303"/>
      <c r="J783" s="303"/>
      <c r="K783" s="324"/>
      <c r="L783" s="303"/>
      <c r="M783" s="303"/>
      <c r="N783" s="303"/>
      <c r="O783" s="303"/>
      <c r="P783" s="303"/>
      <c r="Q783" s="25"/>
      <c r="R783" s="25"/>
      <c r="S783" s="25"/>
      <c r="T783" s="25"/>
      <c r="U783" s="25"/>
    </row>
    <row r="784" spans="6:21">
      <c r="F784" s="303"/>
      <c r="G784" s="303"/>
      <c r="J784" s="303"/>
      <c r="K784" s="324"/>
      <c r="L784" s="303"/>
      <c r="M784" s="303"/>
      <c r="N784" s="303"/>
      <c r="O784" s="303"/>
      <c r="P784" s="303"/>
      <c r="Q784" s="25"/>
      <c r="R784" s="25"/>
      <c r="S784" s="25"/>
      <c r="T784" s="25"/>
      <c r="U784" s="25"/>
    </row>
    <row r="785" spans="6:21">
      <c r="F785" s="303"/>
      <c r="G785" s="303"/>
      <c r="J785" s="303"/>
      <c r="K785" s="324"/>
      <c r="L785" s="303"/>
      <c r="M785" s="303"/>
      <c r="N785" s="303"/>
      <c r="O785" s="303"/>
      <c r="P785" s="303"/>
      <c r="Q785" s="25"/>
      <c r="R785" s="25"/>
      <c r="S785" s="25"/>
      <c r="T785" s="25"/>
      <c r="U785" s="25"/>
    </row>
    <row r="786" spans="6:21">
      <c r="F786" s="303"/>
      <c r="G786" s="303"/>
      <c r="J786" s="303"/>
      <c r="K786" s="324"/>
      <c r="L786" s="303"/>
      <c r="M786" s="303"/>
      <c r="N786" s="303"/>
      <c r="O786" s="303"/>
      <c r="P786" s="303"/>
      <c r="Q786" s="25"/>
      <c r="R786" s="25"/>
      <c r="S786" s="25"/>
      <c r="T786" s="25"/>
      <c r="U786" s="25"/>
    </row>
    <row r="787" spans="6:21">
      <c r="F787" s="303"/>
      <c r="G787" s="303"/>
      <c r="J787" s="303"/>
      <c r="K787" s="324"/>
      <c r="L787" s="303"/>
      <c r="M787" s="303"/>
      <c r="N787" s="303"/>
      <c r="O787" s="303"/>
      <c r="P787" s="303"/>
      <c r="Q787" s="25"/>
      <c r="R787" s="25"/>
      <c r="S787" s="25"/>
      <c r="T787" s="25"/>
      <c r="U787" s="25"/>
    </row>
    <row r="788" spans="6:21">
      <c r="F788" s="303"/>
      <c r="G788" s="303"/>
      <c r="J788" s="303"/>
      <c r="K788" s="324"/>
      <c r="L788" s="303"/>
      <c r="M788" s="303"/>
      <c r="N788" s="303"/>
      <c r="O788" s="303"/>
      <c r="P788" s="303"/>
      <c r="Q788" s="25"/>
      <c r="R788" s="25"/>
      <c r="S788" s="25"/>
      <c r="T788" s="25"/>
      <c r="U788" s="25"/>
    </row>
    <row r="789" spans="6:21">
      <c r="F789" s="303"/>
      <c r="G789" s="303"/>
      <c r="J789" s="303"/>
      <c r="K789" s="324"/>
      <c r="L789" s="303"/>
      <c r="M789" s="303"/>
      <c r="N789" s="303"/>
      <c r="O789" s="303"/>
      <c r="P789" s="303"/>
      <c r="Q789" s="25"/>
      <c r="R789" s="25"/>
      <c r="S789" s="25"/>
      <c r="T789" s="25"/>
      <c r="U789" s="25"/>
    </row>
    <row r="790" spans="6:21">
      <c r="F790" s="303"/>
      <c r="G790" s="303"/>
      <c r="J790" s="303"/>
      <c r="K790" s="324"/>
      <c r="L790" s="303"/>
      <c r="M790" s="303"/>
      <c r="N790" s="303"/>
      <c r="O790" s="303"/>
      <c r="P790" s="303"/>
      <c r="Q790" s="25"/>
      <c r="R790" s="25"/>
      <c r="S790" s="25"/>
      <c r="T790" s="25"/>
      <c r="U790" s="25"/>
    </row>
    <row r="791" spans="6:21">
      <c r="F791" s="303"/>
      <c r="G791" s="303"/>
      <c r="J791" s="303"/>
      <c r="K791" s="324"/>
      <c r="L791" s="303"/>
      <c r="M791" s="303"/>
      <c r="N791" s="303"/>
      <c r="O791" s="303"/>
      <c r="P791" s="303"/>
      <c r="Q791" s="25"/>
      <c r="R791" s="25"/>
      <c r="S791" s="25"/>
      <c r="T791" s="25"/>
      <c r="U791" s="25"/>
    </row>
    <row r="792" spans="6:21">
      <c r="F792" s="303"/>
      <c r="G792" s="303"/>
      <c r="J792" s="303"/>
      <c r="K792" s="324"/>
      <c r="L792" s="303"/>
      <c r="M792" s="303"/>
      <c r="N792" s="303"/>
      <c r="O792" s="303"/>
      <c r="P792" s="303"/>
      <c r="Q792" s="25"/>
      <c r="R792" s="25"/>
      <c r="S792" s="25"/>
      <c r="T792" s="25"/>
      <c r="U792" s="25"/>
    </row>
    <row r="793" spans="6:21">
      <c r="F793" s="303"/>
      <c r="G793" s="303"/>
      <c r="J793" s="303"/>
      <c r="K793" s="324"/>
      <c r="L793" s="303"/>
      <c r="M793" s="303"/>
      <c r="N793" s="303"/>
      <c r="O793" s="303"/>
      <c r="P793" s="303"/>
      <c r="Q793" s="25"/>
      <c r="R793" s="25"/>
      <c r="S793" s="25"/>
      <c r="T793" s="25"/>
      <c r="U793" s="25"/>
    </row>
    <row r="794" spans="6:21">
      <c r="F794" s="303"/>
      <c r="G794" s="303"/>
      <c r="J794" s="303"/>
      <c r="K794" s="324"/>
      <c r="L794" s="303"/>
      <c r="M794" s="303"/>
      <c r="N794" s="303"/>
      <c r="O794" s="303"/>
      <c r="P794" s="303"/>
      <c r="Q794" s="25"/>
      <c r="R794" s="25"/>
      <c r="S794" s="25"/>
      <c r="T794" s="25"/>
      <c r="U794" s="25"/>
    </row>
    <row r="795" spans="6:21">
      <c r="F795" s="303"/>
      <c r="G795" s="303"/>
      <c r="J795" s="303"/>
      <c r="K795" s="324"/>
      <c r="L795" s="303"/>
      <c r="M795" s="303"/>
      <c r="N795" s="303"/>
      <c r="O795" s="303"/>
      <c r="P795" s="303"/>
      <c r="Q795" s="25"/>
      <c r="R795" s="25"/>
      <c r="S795" s="25"/>
      <c r="T795" s="25"/>
      <c r="U795" s="25"/>
    </row>
    <row r="796" spans="6:21">
      <c r="F796" s="303"/>
      <c r="G796" s="303"/>
      <c r="J796" s="303"/>
      <c r="K796" s="324"/>
      <c r="L796" s="303"/>
      <c r="M796" s="303"/>
      <c r="N796" s="303"/>
      <c r="O796" s="303"/>
      <c r="P796" s="303"/>
      <c r="Q796" s="25"/>
      <c r="R796" s="25"/>
      <c r="S796" s="25"/>
      <c r="T796" s="25"/>
      <c r="U796" s="25"/>
    </row>
    <row r="797" spans="6:21">
      <c r="F797" s="303"/>
      <c r="G797" s="303"/>
      <c r="J797" s="303"/>
      <c r="K797" s="324"/>
      <c r="L797" s="303"/>
      <c r="M797" s="303"/>
      <c r="N797" s="303"/>
      <c r="O797" s="303"/>
      <c r="P797" s="303"/>
      <c r="Q797" s="25"/>
      <c r="R797" s="25"/>
      <c r="S797" s="25"/>
      <c r="T797" s="25"/>
      <c r="U797" s="25"/>
    </row>
    <row r="798" spans="6:21">
      <c r="F798" s="303"/>
      <c r="G798" s="303"/>
      <c r="J798" s="303"/>
      <c r="K798" s="324"/>
      <c r="L798" s="303"/>
      <c r="M798" s="303"/>
      <c r="N798" s="303"/>
      <c r="O798" s="303"/>
      <c r="P798" s="303"/>
      <c r="Q798" s="25"/>
      <c r="R798" s="25"/>
      <c r="S798" s="25"/>
      <c r="T798" s="25"/>
      <c r="U798" s="25"/>
    </row>
    <row r="799" spans="6:21">
      <c r="F799" s="303"/>
      <c r="G799" s="303"/>
      <c r="J799" s="303"/>
      <c r="K799" s="324"/>
      <c r="L799" s="303"/>
      <c r="M799" s="303"/>
      <c r="N799" s="303"/>
      <c r="O799" s="303"/>
      <c r="P799" s="303"/>
      <c r="Q799" s="25"/>
      <c r="R799" s="25"/>
      <c r="S799" s="25"/>
      <c r="T799" s="25"/>
      <c r="U799" s="25"/>
    </row>
    <row r="800" spans="6:21">
      <c r="F800" s="303"/>
      <c r="G800" s="303"/>
      <c r="J800" s="303"/>
      <c r="K800" s="324"/>
      <c r="L800" s="303"/>
      <c r="M800" s="303"/>
      <c r="N800" s="303"/>
      <c r="O800" s="303"/>
      <c r="P800" s="303"/>
      <c r="Q800" s="25"/>
      <c r="R800" s="25"/>
      <c r="S800" s="25"/>
      <c r="T800" s="25"/>
      <c r="U800" s="25"/>
    </row>
    <row r="801" spans="6:21">
      <c r="F801" s="303"/>
      <c r="G801" s="303"/>
      <c r="J801" s="303"/>
      <c r="K801" s="324"/>
      <c r="L801" s="303"/>
      <c r="M801" s="303"/>
      <c r="N801" s="303"/>
      <c r="O801" s="303"/>
      <c r="P801" s="303"/>
      <c r="Q801" s="25"/>
      <c r="R801" s="25"/>
      <c r="S801" s="25"/>
      <c r="T801" s="25"/>
      <c r="U801" s="25"/>
    </row>
    <row r="802" spans="6:21">
      <c r="F802" s="303"/>
      <c r="G802" s="303"/>
      <c r="J802" s="303"/>
      <c r="K802" s="324"/>
      <c r="L802" s="303"/>
      <c r="M802" s="303"/>
      <c r="N802" s="303"/>
      <c r="O802" s="303"/>
      <c r="P802" s="303"/>
      <c r="Q802" s="25"/>
      <c r="R802" s="25"/>
      <c r="S802" s="25"/>
      <c r="T802" s="25"/>
      <c r="U802" s="25"/>
    </row>
    <row r="803" spans="6:21">
      <c r="F803" s="303"/>
      <c r="G803" s="303"/>
      <c r="J803" s="303"/>
      <c r="K803" s="324"/>
      <c r="L803" s="303"/>
      <c r="M803" s="303"/>
      <c r="N803" s="303"/>
      <c r="O803" s="303"/>
      <c r="P803" s="303"/>
      <c r="Q803" s="25"/>
      <c r="R803" s="25"/>
      <c r="S803" s="25"/>
      <c r="T803" s="25"/>
      <c r="U803" s="25"/>
    </row>
    <row r="804" spans="6:21">
      <c r="F804" s="303"/>
      <c r="G804" s="303"/>
      <c r="J804" s="303"/>
      <c r="K804" s="324"/>
      <c r="L804" s="303"/>
      <c r="M804" s="303"/>
      <c r="N804" s="303"/>
      <c r="O804" s="303"/>
      <c r="P804" s="303"/>
      <c r="Q804" s="25"/>
      <c r="R804" s="25"/>
      <c r="S804" s="25"/>
      <c r="T804" s="25"/>
      <c r="U804" s="25"/>
    </row>
    <row r="805" spans="6:21">
      <c r="F805" s="303"/>
      <c r="G805" s="303"/>
      <c r="J805" s="303"/>
      <c r="K805" s="324"/>
      <c r="L805" s="303"/>
      <c r="M805" s="303"/>
      <c r="N805" s="303"/>
      <c r="O805" s="303"/>
      <c r="P805" s="303"/>
      <c r="Q805" s="25"/>
      <c r="R805" s="25"/>
      <c r="S805" s="25"/>
      <c r="T805" s="25"/>
      <c r="U805" s="25"/>
    </row>
    <row r="806" spans="6:21">
      <c r="F806" s="303"/>
      <c r="G806" s="303"/>
      <c r="J806" s="303"/>
      <c r="K806" s="324"/>
      <c r="L806" s="303"/>
      <c r="M806" s="303"/>
      <c r="N806" s="303"/>
      <c r="O806" s="303"/>
      <c r="P806" s="303"/>
      <c r="Q806" s="25"/>
      <c r="R806" s="25"/>
      <c r="S806" s="25"/>
      <c r="T806" s="25"/>
      <c r="U806" s="25"/>
    </row>
    <row r="807" spans="6:21">
      <c r="F807" s="303"/>
      <c r="G807" s="303"/>
      <c r="J807" s="303"/>
      <c r="K807" s="324"/>
      <c r="L807" s="303"/>
      <c r="M807" s="303"/>
      <c r="N807" s="303"/>
      <c r="O807" s="303"/>
      <c r="P807" s="303"/>
      <c r="Q807" s="25"/>
      <c r="R807" s="25"/>
      <c r="S807" s="25"/>
      <c r="T807" s="25"/>
      <c r="U807" s="25"/>
    </row>
    <row r="808" spans="6:21">
      <c r="F808" s="303"/>
      <c r="G808" s="303"/>
      <c r="J808" s="303"/>
      <c r="K808" s="324"/>
      <c r="L808" s="303"/>
      <c r="M808" s="303"/>
      <c r="N808" s="303"/>
      <c r="O808" s="303"/>
      <c r="P808" s="303"/>
      <c r="Q808" s="25"/>
      <c r="R808" s="25"/>
      <c r="S808" s="25"/>
      <c r="T808" s="25"/>
      <c r="U808" s="25"/>
    </row>
    <row r="809" spans="6:21">
      <c r="F809" s="303"/>
      <c r="G809" s="303"/>
      <c r="J809" s="303"/>
      <c r="K809" s="324"/>
      <c r="L809" s="303"/>
      <c r="M809" s="303"/>
      <c r="N809" s="303"/>
      <c r="O809" s="303"/>
      <c r="P809" s="303"/>
      <c r="Q809" s="25"/>
      <c r="R809" s="25"/>
      <c r="S809" s="25"/>
      <c r="T809" s="25"/>
      <c r="U809" s="25"/>
    </row>
    <row r="810" spans="6:21">
      <c r="F810" s="303"/>
      <c r="G810" s="303"/>
      <c r="J810" s="303"/>
      <c r="K810" s="324"/>
      <c r="L810" s="303"/>
      <c r="M810" s="303"/>
      <c r="N810" s="303"/>
      <c r="O810" s="303"/>
      <c r="P810" s="303"/>
      <c r="Q810" s="25"/>
      <c r="R810" s="25"/>
      <c r="S810" s="25"/>
      <c r="T810" s="25"/>
      <c r="U810" s="25"/>
    </row>
    <row r="811" spans="6:21">
      <c r="F811" s="303"/>
      <c r="G811" s="303"/>
      <c r="J811" s="303"/>
      <c r="K811" s="324"/>
      <c r="L811" s="303"/>
      <c r="M811" s="303"/>
      <c r="N811" s="303"/>
      <c r="O811" s="303"/>
      <c r="P811" s="303"/>
      <c r="Q811" s="25"/>
      <c r="R811" s="25"/>
      <c r="S811" s="25"/>
      <c r="T811" s="25"/>
      <c r="U811" s="25"/>
    </row>
    <row r="812" spans="6:21">
      <c r="F812" s="303"/>
      <c r="G812" s="303"/>
      <c r="J812" s="303"/>
      <c r="K812" s="324"/>
      <c r="L812" s="303"/>
      <c r="M812" s="303"/>
      <c r="N812" s="303"/>
      <c r="O812" s="303"/>
      <c r="P812" s="303"/>
      <c r="Q812" s="25"/>
      <c r="R812" s="25"/>
      <c r="S812" s="25"/>
      <c r="T812" s="25"/>
      <c r="U812" s="25"/>
    </row>
    <row r="813" spans="6:21">
      <c r="F813" s="303"/>
      <c r="G813" s="303"/>
      <c r="J813" s="303"/>
      <c r="K813" s="324"/>
      <c r="L813" s="303"/>
      <c r="M813" s="303"/>
      <c r="N813" s="303"/>
      <c r="O813" s="303"/>
      <c r="P813" s="303"/>
      <c r="Q813" s="25"/>
      <c r="R813" s="25"/>
      <c r="S813" s="25"/>
      <c r="T813" s="25"/>
      <c r="U813" s="25"/>
    </row>
    <row r="814" spans="6:21">
      <c r="F814" s="303"/>
      <c r="G814" s="303"/>
      <c r="J814" s="303"/>
      <c r="K814" s="324"/>
      <c r="L814" s="303"/>
      <c r="M814" s="303"/>
      <c r="N814" s="303"/>
      <c r="O814" s="303"/>
      <c r="P814" s="303"/>
      <c r="Q814" s="25"/>
      <c r="R814" s="25"/>
      <c r="S814" s="25"/>
      <c r="T814" s="25"/>
      <c r="U814" s="25"/>
    </row>
    <row r="815" spans="6:21">
      <c r="F815" s="303"/>
      <c r="G815" s="303"/>
      <c r="J815" s="303"/>
      <c r="K815" s="324"/>
      <c r="L815" s="303"/>
      <c r="M815" s="303"/>
      <c r="N815" s="303"/>
      <c r="O815" s="303"/>
      <c r="P815" s="303"/>
      <c r="Q815" s="25"/>
      <c r="R815" s="25"/>
      <c r="S815" s="25"/>
      <c r="T815" s="25"/>
      <c r="U815" s="25"/>
    </row>
    <row r="816" spans="6:21">
      <c r="F816" s="303"/>
      <c r="G816" s="303"/>
      <c r="J816" s="303"/>
      <c r="K816" s="324"/>
      <c r="L816" s="303"/>
      <c r="M816" s="303"/>
      <c r="N816" s="303"/>
      <c r="O816" s="303"/>
      <c r="P816" s="303"/>
      <c r="Q816" s="25"/>
      <c r="R816" s="25"/>
      <c r="S816" s="25"/>
      <c r="T816" s="25"/>
      <c r="U816" s="25"/>
    </row>
    <row r="817" spans="6:21">
      <c r="F817" s="303"/>
      <c r="G817" s="303"/>
      <c r="J817" s="303"/>
      <c r="K817" s="324"/>
      <c r="L817" s="303"/>
      <c r="M817" s="303"/>
      <c r="N817" s="303"/>
      <c r="O817" s="303"/>
      <c r="P817" s="303"/>
      <c r="Q817" s="25"/>
      <c r="R817" s="25"/>
      <c r="S817" s="25"/>
      <c r="T817" s="25"/>
      <c r="U817" s="25"/>
    </row>
    <row r="818" spans="6:21">
      <c r="F818" s="303"/>
      <c r="G818" s="303"/>
      <c r="J818" s="303"/>
      <c r="K818" s="324"/>
      <c r="L818" s="303"/>
      <c r="M818" s="303"/>
      <c r="N818" s="303"/>
      <c r="O818" s="303"/>
      <c r="P818" s="303"/>
      <c r="Q818" s="25"/>
      <c r="R818" s="25"/>
      <c r="S818" s="25"/>
      <c r="T818" s="25"/>
      <c r="U818" s="25"/>
    </row>
    <row r="819" spans="6:21">
      <c r="F819" s="303"/>
      <c r="G819" s="303"/>
      <c r="J819" s="303"/>
      <c r="K819" s="324"/>
      <c r="L819" s="303"/>
      <c r="M819" s="303"/>
      <c r="N819" s="303"/>
      <c r="O819" s="303"/>
      <c r="P819" s="303"/>
      <c r="Q819" s="25"/>
      <c r="R819" s="25"/>
      <c r="S819" s="25"/>
      <c r="T819" s="25"/>
      <c r="U819" s="25"/>
    </row>
    <row r="820" spans="6:21">
      <c r="F820" s="303"/>
      <c r="G820" s="303"/>
      <c r="J820" s="303"/>
      <c r="K820" s="324"/>
      <c r="L820" s="303"/>
      <c r="M820" s="303"/>
      <c r="N820" s="303"/>
      <c r="O820" s="303"/>
      <c r="P820" s="303"/>
      <c r="Q820" s="25"/>
      <c r="R820" s="25"/>
      <c r="S820" s="25"/>
      <c r="T820" s="25"/>
      <c r="U820" s="25"/>
    </row>
    <row r="821" spans="6:21">
      <c r="F821" s="303"/>
      <c r="G821" s="303"/>
      <c r="J821" s="303"/>
      <c r="K821" s="324"/>
      <c r="L821" s="303"/>
      <c r="M821" s="303"/>
      <c r="N821" s="303"/>
      <c r="O821" s="303"/>
      <c r="P821" s="303"/>
      <c r="Q821" s="25"/>
      <c r="R821" s="25"/>
      <c r="S821" s="25"/>
      <c r="T821" s="25"/>
      <c r="U821" s="25"/>
    </row>
    <row r="822" spans="6:21">
      <c r="F822" s="303"/>
      <c r="G822" s="303"/>
      <c r="J822" s="303"/>
      <c r="K822" s="324"/>
      <c r="L822" s="303"/>
      <c r="M822" s="303"/>
      <c r="N822" s="303"/>
      <c r="O822" s="303"/>
      <c r="P822" s="303"/>
      <c r="Q822" s="25"/>
      <c r="R822" s="25"/>
      <c r="S822" s="25"/>
      <c r="T822" s="25"/>
      <c r="U822" s="25"/>
    </row>
    <row r="823" spans="6:21">
      <c r="F823" s="303"/>
      <c r="G823" s="303"/>
      <c r="J823" s="303"/>
      <c r="K823" s="324"/>
      <c r="L823" s="303"/>
      <c r="M823" s="303"/>
      <c r="N823" s="303"/>
      <c r="O823" s="303"/>
      <c r="P823" s="303"/>
      <c r="Q823" s="25"/>
      <c r="R823" s="25"/>
      <c r="S823" s="25"/>
      <c r="T823" s="25"/>
      <c r="U823" s="25"/>
    </row>
    <row r="824" spans="6:21">
      <c r="F824" s="303"/>
      <c r="G824" s="303"/>
      <c r="J824" s="303"/>
      <c r="K824" s="324"/>
      <c r="L824" s="303"/>
      <c r="M824" s="303"/>
      <c r="N824" s="303"/>
      <c r="O824" s="303"/>
      <c r="P824" s="303"/>
      <c r="Q824" s="25"/>
      <c r="R824" s="25"/>
      <c r="S824" s="25"/>
      <c r="T824" s="25"/>
      <c r="U824" s="25"/>
    </row>
    <row r="825" spans="6:21">
      <c r="F825" s="303"/>
      <c r="G825" s="303"/>
      <c r="J825" s="303"/>
      <c r="K825" s="324"/>
      <c r="L825" s="303"/>
      <c r="M825" s="303"/>
      <c r="N825" s="303"/>
      <c r="O825" s="303"/>
      <c r="P825" s="303"/>
      <c r="Q825" s="25"/>
      <c r="R825" s="25"/>
      <c r="S825" s="25"/>
      <c r="T825" s="25"/>
      <c r="U825" s="25"/>
    </row>
    <row r="826" spans="6:21">
      <c r="F826" s="303"/>
      <c r="G826" s="303"/>
      <c r="J826" s="303"/>
      <c r="K826" s="324"/>
      <c r="L826" s="303"/>
      <c r="M826" s="303"/>
      <c r="N826" s="303"/>
      <c r="O826" s="303"/>
      <c r="P826" s="303"/>
      <c r="Q826" s="25"/>
      <c r="R826" s="25"/>
      <c r="S826" s="25"/>
      <c r="T826" s="25"/>
      <c r="U826" s="25"/>
    </row>
    <row r="827" spans="6:21">
      <c r="F827" s="303"/>
      <c r="G827" s="303"/>
      <c r="J827" s="303"/>
      <c r="K827" s="324"/>
      <c r="L827" s="303"/>
      <c r="M827" s="303"/>
      <c r="N827" s="303"/>
      <c r="O827" s="303"/>
      <c r="P827" s="303"/>
      <c r="Q827" s="25"/>
      <c r="R827" s="25"/>
      <c r="S827" s="25"/>
      <c r="T827" s="25"/>
      <c r="U827" s="25"/>
    </row>
    <row r="828" spans="6:21">
      <c r="F828" s="303"/>
      <c r="G828" s="303"/>
      <c r="J828" s="303"/>
      <c r="K828" s="324"/>
      <c r="L828" s="303"/>
      <c r="M828" s="303"/>
      <c r="N828" s="303"/>
      <c r="O828" s="303"/>
      <c r="P828" s="303"/>
      <c r="Q828" s="25"/>
      <c r="R828" s="25"/>
      <c r="S828" s="25"/>
      <c r="T828" s="25"/>
      <c r="U828" s="25"/>
    </row>
    <row r="829" spans="6:21">
      <c r="F829" s="303"/>
      <c r="G829" s="303"/>
      <c r="J829" s="303"/>
      <c r="K829" s="324"/>
      <c r="L829" s="303"/>
      <c r="M829" s="303"/>
      <c r="N829" s="303"/>
      <c r="O829" s="303"/>
      <c r="P829" s="303"/>
      <c r="Q829" s="25"/>
      <c r="R829" s="25"/>
      <c r="S829" s="25"/>
      <c r="T829" s="25"/>
      <c r="U829" s="25"/>
    </row>
    <row r="830" spans="6:21">
      <c r="F830" s="303"/>
      <c r="G830" s="303"/>
      <c r="J830" s="303"/>
      <c r="K830" s="324"/>
      <c r="L830" s="303"/>
      <c r="M830" s="303"/>
      <c r="N830" s="303"/>
      <c r="O830" s="303"/>
      <c r="P830" s="303"/>
      <c r="Q830" s="25"/>
      <c r="R830" s="25"/>
      <c r="S830" s="25"/>
      <c r="T830" s="25"/>
      <c r="U830" s="25"/>
    </row>
    <row r="831" spans="6:21">
      <c r="F831" s="303"/>
      <c r="G831" s="303"/>
      <c r="J831" s="303"/>
      <c r="K831" s="324"/>
      <c r="L831" s="303"/>
      <c r="M831" s="303"/>
      <c r="N831" s="303"/>
      <c r="O831" s="303"/>
      <c r="P831" s="303"/>
      <c r="Q831" s="25"/>
      <c r="R831" s="25"/>
      <c r="S831" s="25"/>
      <c r="T831" s="25"/>
      <c r="U831" s="25"/>
    </row>
    <row r="832" spans="6:21">
      <c r="F832" s="303"/>
      <c r="G832" s="303"/>
      <c r="J832" s="303"/>
      <c r="K832" s="324"/>
      <c r="L832" s="303"/>
      <c r="M832" s="303"/>
      <c r="N832" s="303"/>
      <c r="O832" s="303"/>
      <c r="P832" s="303"/>
      <c r="Q832" s="25"/>
      <c r="R832" s="25"/>
      <c r="S832" s="25"/>
      <c r="T832" s="25"/>
      <c r="U832" s="25"/>
    </row>
    <row r="833" spans="6:21">
      <c r="F833" s="303"/>
      <c r="G833" s="303"/>
      <c r="J833" s="303"/>
      <c r="K833" s="324"/>
      <c r="L833" s="303"/>
      <c r="M833" s="303"/>
      <c r="N833" s="303"/>
      <c r="O833" s="303"/>
      <c r="P833" s="303"/>
      <c r="Q833" s="25"/>
      <c r="R833" s="25"/>
      <c r="S833" s="25"/>
      <c r="T833" s="25"/>
      <c r="U833" s="25"/>
    </row>
    <row r="834" spans="6:21">
      <c r="F834" s="303"/>
      <c r="G834" s="303"/>
      <c r="J834" s="303"/>
      <c r="K834" s="324"/>
      <c r="L834" s="303"/>
      <c r="M834" s="303"/>
      <c r="N834" s="303"/>
      <c r="O834" s="303"/>
      <c r="P834" s="303"/>
      <c r="Q834" s="25"/>
      <c r="R834" s="25"/>
      <c r="S834" s="25"/>
      <c r="T834" s="25"/>
      <c r="U834" s="25"/>
    </row>
    <row r="835" spans="6:21">
      <c r="F835" s="303"/>
      <c r="G835" s="303"/>
      <c r="J835" s="303"/>
      <c r="K835" s="324"/>
      <c r="L835" s="303"/>
      <c r="M835" s="303"/>
      <c r="N835" s="303"/>
      <c r="O835" s="303"/>
      <c r="P835" s="303"/>
      <c r="Q835" s="25"/>
      <c r="R835" s="25"/>
      <c r="S835" s="25"/>
      <c r="T835" s="25"/>
      <c r="U835" s="25"/>
    </row>
    <row r="836" spans="6:21">
      <c r="F836" s="303"/>
      <c r="G836" s="303"/>
      <c r="J836" s="303"/>
      <c r="K836" s="324"/>
      <c r="L836" s="303"/>
      <c r="M836" s="303"/>
      <c r="N836" s="303"/>
      <c r="O836" s="303"/>
      <c r="P836" s="303"/>
      <c r="Q836" s="25"/>
      <c r="R836" s="25"/>
      <c r="S836" s="25"/>
      <c r="T836" s="25"/>
      <c r="U836" s="25"/>
    </row>
    <row r="837" spans="6:21">
      <c r="F837" s="303"/>
      <c r="G837" s="303"/>
      <c r="J837" s="303"/>
      <c r="K837" s="324"/>
      <c r="L837" s="303"/>
      <c r="M837" s="303"/>
      <c r="N837" s="303"/>
      <c r="O837" s="303"/>
      <c r="P837" s="303"/>
      <c r="Q837" s="25"/>
      <c r="R837" s="25"/>
      <c r="S837" s="25"/>
      <c r="T837" s="25"/>
      <c r="U837" s="25"/>
    </row>
    <row r="838" spans="6:21">
      <c r="F838" s="303"/>
      <c r="G838" s="303"/>
      <c r="J838" s="303"/>
      <c r="K838" s="324"/>
      <c r="L838" s="303"/>
      <c r="M838" s="303"/>
      <c r="N838" s="303"/>
      <c r="O838" s="303"/>
      <c r="P838" s="303"/>
      <c r="Q838" s="25"/>
      <c r="R838" s="25"/>
      <c r="S838" s="25"/>
      <c r="T838" s="25"/>
      <c r="U838" s="25"/>
    </row>
    <row r="839" spans="6:21">
      <c r="F839" s="303"/>
      <c r="G839" s="303"/>
      <c r="J839" s="303"/>
      <c r="K839" s="324"/>
      <c r="L839" s="303"/>
      <c r="M839" s="303"/>
      <c r="N839" s="303"/>
      <c r="O839" s="303"/>
      <c r="P839" s="303"/>
      <c r="Q839" s="25"/>
      <c r="R839" s="25"/>
      <c r="S839" s="25"/>
      <c r="T839" s="25"/>
      <c r="U839" s="25"/>
    </row>
    <row r="840" spans="6:21">
      <c r="F840" s="303"/>
      <c r="G840" s="303"/>
      <c r="J840" s="303"/>
      <c r="K840" s="324"/>
      <c r="L840" s="303"/>
      <c r="M840" s="303"/>
      <c r="N840" s="303"/>
      <c r="O840" s="303"/>
      <c r="P840" s="303"/>
      <c r="Q840" s="25"/>
      <c r="R840" s="25"/>
      <c r="S840" s="25"/>
      <c r="T840" s="25"/>
      <c r="U840" s="25"/>
    </row>
    <row r="841" spans="6:21">
      <c r="F841" s="303"/>
      <c r="G841" s="303"/>
      <c r="J841" s="303"/>
      <c r="K841" s="324"/>
      <c r="L841" s="303"/>
      <c r="M841" s="303"/>
      <c r="N841" s="303"/>
      <c r="O841" s="303"/>
      <c r="P841" s="303"/>
      <c r="Q841" s="25"/>
      <c r="R841" s="25"/>
      <c r="S841" s="25"/>
      <c r="T841" s="25"/>
      <c r="U841" s="25"/>
    </row>
    <row r="842" spans="6:21">
      <c r="F842" s="303"/>
      <c r="G842" s="303"/>
      <c r="J842" s="303"/>
      <c r="K842" s="324"/>
      <c r="L842" s="303"/>
      <c r="M842" s="303"/>
      <c r="N842" s="303"/>
      <c r="O842" s="303"/>
      <c r="P842" s="303"/>
      <c r="Q842" s="25"/>
      <c r="R842" s="25"/>
      <c r="S842" s="25"/>
      <c r="T842" s="25"/>
      <c r="U842" s="25"/>
    </row>
    <row r="843" spans="6:21">
      <c r="F843" s="303"/>
      <c r="G843" s="303"/>
      <c r="J843" s="303"/>
      <c r="K843" s="324"/>
      <c r="L843" s="303"/>
      <c r="M843" s="303"/>
      <c r="N843" s="303"/>
      <c r="O843" s="303"/>
      <c r="P843" s="303"/>
      <c r="Q843" s="25"/>
      <c r="R843" s="25"/>
      <c r="S843" s="25"/>
      <c r="T843" s="25"/>
      <c r="U843" s="25"/>
    </row>
    <row r="844" spans="6:21">
      <c r="F844" s="303"/>
      <c r="G844" s="303"/>
      <c r="J844" s="303"/>
      <c r="K844" s="324"/>
      <c r="L844" s="303"/>
      <c r="M844" s="303"/>
      <c r="N844" s="303"/>
      <c r="O844" s="303"/>
      <c r="P844" s="303"/>
      <c r="Q844" s="25"/>
      <c r="R844" s="25"/>
      <c r="S844" s="25"/>
      <c r="T844" s="25"/>
      <c r="U844" s="25"/>
    </row>
    <row r="845" spans="6:21">
      <c r="F845" s="303"/>
      <c r="G845" s="303"/>
      <c r="J845" s="303"/>
      <c r="K845" s="324"/>
      <c r="L845" s="303"/>
      <c r="M845" s="303"/>
      <c r="N845" s="303"/>
      <c r="O845" s="303"/>
      <c r="P845" s="303"/>
      <c r="Q845" s="25"/>
      <c r="R845" s="25"/>
      <c r="S845" s="25"/>
      <c r="T845" s="25"/>
      <c r="U845" s="25"/>
    </row>
    <row r="846" spans="6:21">
      <c r="F846" s="303"/>
      <c r="G846" s="303"/>
      <c r="J846" s="303"/>
      <c r="K846" s="324"/>
      <c r="L846" s="303"/>
      <c r="M846" s="303"/>
      <c r="N846" s="303"/>
      <c r="O846" s="303"/>
      <c r="P846" s="303"/>
      <c r="Q846" s="25"/>
      <c r="R846" s="25"/>
      <c r="S846" s="25"/>
      <c r="T846" s="25"/>
      <c r="U846" s="25"/>
    </row>
    <row r="847" spans="6:21">
      <c r="F847" s="303"/>
      <c r="G847" s="303"/>
      <c r="J847" s="303"/>
      <c r="K847" s="324"/>
      <c r="L847" s="303"/>
      <c r="M847" s="303"/>
      <c r="N847" s="303"/>
      <c r="O847" s="303"/>
      <c r="P847" s="303"/>
      <c r="Q847" s="25"/>
      <c r="R847" s="25"/>
      <c r="S847" s="25"/>
      <c r="T847" s="25"/>
      <c r="U847" s="25"/>
    </row>
    <row r="848" spans="6:21">
      <c r="F848" s="303"/>
      <c r="G848" s="303"/>
      <c r="J848" s="303"/>
      <c r="K848" s="324"/>
      <c r="L848" s="303"/>
      <c r="M848" s="303"/>
      <c r="N848" s="303"/>
      <c r="O848" s="303"/>
      <c r="P848" s="303"/>
      <c r="Q848" s="25"/>
      <c r="R848" s="25"/>
      <c r="S848" s="25"/>
      <c r="T848" s="25"/>
      <c r="U848" s="25"/>
    </row>
    <row r="849" spans="6:21">
      <c r="F849" s="303"/>
      <c r="G849" s="303"/>
      <c r="J849" s="303"/>
      <c r="K849" s="324"/>
      <c r="L849" s="303"/>
      <c r="M849" s="303"/>
      <c r="N849" s="303"/>
      <c r="O849" s="303"/>
      <c r="P849" s="303"/>
      <c r="Q849" s="25"/>
      <c r="R849" s="25"/>
      <c r="S849" s="25"/>
      <c r="T849" s="25"/>
      <c r="U849" s="25"/>
    </row>
    <row r="850" spans="6:21">
      <c r="F850" s="303"/>
      <c r="G850" s="303"/>
      <c r="J850" s="303"/>
      <c r="K850" s="324"/>
      <c r="L850" s="303"/>
      <c r="M850" s="303"/>
      <c r="N850" s="303"/>
      <c r="O850" s="303"/>
      <c r="P850" s="303"/>
      <c r="Q850" s="25"/>
      <c r="R850" s="25"/>
      <c r="S850" s="25"/>
      <c r="T850" s="25"/>
      <c r="U850" s="25"/>
    </row>
    <row r="851" spans="6:21">
      <c r="F851" s="303"/>
      <c r="G851" s="303"/>
      <c r="J851" s="303"/>
      <c r="K851" s="324"/>
      <c r="L851" s="303"/>
      <c r="M851" s="303"/>
      <c r="N851" s="303"/>
      <c r="O851" s="303"/>
      <c r="P851" s="303"/>
      <c r="Q851" s="25"/>
      <c r="R851" s="25"/>
      <c r="S851" s="25"/>
      <c r="T851" s="25"/>
      <c r="U851" s="25"/>
    </row>
    <row r="852" spans="6:21">
      <c r="F852" s="303"/>
      <c r="G852" s="303"/>
      <c r="J852" s="303"/>
      <c r="K852" s="324"/>
      <c r="L852" s="303"/>
      <c r="M852" s="303"/>
      <c r="N852" s="303"/>
      <c r="O852" s="303"/>
      <c r="P852" s="303"/>
      <c r="Q852" s="25"/>
      <c r="R852" s="25"/>
      <c r="S852" s="25"/>
      <c r="T852" s="25"/>
      <c r="U852" s="25"/>
    </row>
    <row r="853" spans="6:21">
      <c r="F853" s="303"/>
      <c r="G853" s="303"/>
      <c r="J853" s="303"/>
      <c r="K853" s="324"/>
      <c r="L853" s="303"/>
      <c r="M853" s="303"/>
      <c r="N853" s="303"/>
      <c r="O853" s="303"/>
      <c r="P853" s="303"/>
      <c r="Q853" s="25"/>
      <c r="R853" s="25"/>
      <c r="S853" s="25"/>
      <c r="T853" s="25"/>
      <c r="U853" s="25"/>
    </row>
    <row r="854" spans="6:21">
      <c r="F854" s="303"/>
      <c r="G854" s="303"/>
      <c r="J854" s="303"/>
      <c r="K854" s="324"/>
      <c r="L854" s="303"/>
      <c r="M854" s="303"/>
      <c r="N854" s="303"/>
      <c r="O854" s="303"/>
      <c r="P854" s="303"/>
      <c r="Q854" s="25"/>
      <c r="R854" s="25"/>
      <c r="S854" s="25"/>
      <c r="T854" s="25"/>
      <c r="U854" s="25"/>
    </row>
    <row r="855" spans="6:21">
      <c r="F855" s="303"/>
      <c r="G855" s="303"/>
      <c r="J855" s="303"/>
      <c r="K855" s="324"/>
      <c r="L855" s="303"/>
      <c r="M855" s="303"/>
      <c r="N855" s="303"/>
      <c r="O855" s="303"/>
      <c r="P855" s="303"/>
      <c r="Q855" s="25"/>
      <c r="R855" s="25"/>
      <c r="S855" s="25"/>
      <c r="T855" s="25"/>
      <c r="U855" s="25"/>
    </row>
    <row r="856" spans="6:21">
      <c r="F856" s="303"/>
      <c r="G856" s="303"/>
      <c r="J856" s="303"/>
      <c r="K856" s="324"/>
      <c r="L856" s="303"/>
      <c r="M856" s="303"/>
      <c r="N856" s="303"/>
      <c r="O856" s="303"/>
      <c r="P856" s="303"/>
      <c r="Q856" s="25"/>
      <c r="R856" s="25"/>
      <c r="S856" s="25"/>
      <c r="T856" s="25"/>
      <c r="U856" s="25"/>
    </row>
    <row r="857" spans="6:21">
      <c r="F857" s="303"/>
      <c r="G857" s="303"/>
      <c r="J857" s="303"/>
      <c r="K857" s="324"/>
      <c r="L857" s="303"/>
      <c r="M857" s="303"/>
      <c r="N857" s="303"/>
      <c r="O857" s="303"/>
      <c r="P857" s="303"/>
      <c r="Q857" s="25"/>
      <c r="R857" s="25"/>
      <c r="S857" s="25"/>
      <c r="T857" s="25"/>
      <c r="U857" s="25"/>
    </row>
    <row r="858" spans="6:21">
      <c r="F858" s="303"/>
      <c r="G858" s="303"/>
      <c r="J858" s="303"/>
      <c r="K858" s="324"/>
      <c r="L858" s="303"/>
      <c r="M858" s="303"/>
      <c r="N858" s="303"/>
      <c r="O858" s="303"/>
      <c r="P858" s="303"/>
      <c r="Q858" s="25"/>
      <c r="R858" s="25"/>
      <c r="S858" s="25"/>
      <c r="T858" s="25"/>
      <c r="U858" s="25"/>
    </row>
    <row r="859" spans="6:21">
      <c r="F859" s="303"/>
      <c r="G859" s="303"/>
      <c r="J859" s="303"/>
      <c r="K859" s="324"/>
      <c r="L859" s="303"/>
      <c r="M859" s="303"/>
      <c r="N859" s="303"/>
      <c r="O859" s="303"/>
      <c r="P859" s="303"/>
      <c r="Q859" s="25"/>
      <c r="R859" s="25"/>
      <c r="S859" s="25"/>
      <c r="T859" s="25"/>
      <c r="U859" s="25"/>
    </row>
    <row r="860" spans="6:21">
      <c r="F860" s="303"/>
      <c r="G860" s="303"/>
      <c r="J860" s="303"/>
      <c r="K860" s="324"/>
      <c r="L860" s="303"/>
      <c r="M860" s="303"/>
      <c r="N860" s="303"/>
      <c r="O860" s="303"/>
      <c r="P860" s="303"/>
      <c r="Q860" s="25"/>
      <c r="R860" s="25"/>
      <c r="S860" s="25"/>
      <c r="T860" s="25"/>
      <c r="U860" s="25"/>
    </row>
    <row r="861" spans="6:21">
      <c r="F861" s="303"/>
      <c r="G861" s="303"/>
      <c r="J861" s="303"/>
      <c r="K861" s="324"/>
      <c r="L861" s="303"/>
      <c r="M861" s="303"/>
      <c r="N861" s="303"/>
      <c r="O861" s="303"/>
      <c r="P861" s="303"/>
      <c r="Q861" s="25"/>
      <c r="R861" s="25"/>
      <c r="S861" s="25"/>
      <c r="T861" s="25"/>
      <c r="U861" s="25"/>
    </row>
    <row r="862" spans="6:21">
      <c r="F862" s="303"/>
      <c r="G862" s="303"/>
      <c r="J862" s="303"/>
      <c r="K862" s="324"/>
      <c r="L862" s="303"/>
      <c r="M862" s="303"/>
      <c r="N862" s="303"/>
      <c r="O862" s="303"/>
      <c r="P862" s="303"/>
      <c r="Q862" s="25"/>
      <c r="R862" s="25"/>
      <c r="S862" s="25"/>
      <c r="T862" s="25"/>
      <c r="U862" s="25"/>
    </row>
    <row r="863" spans="6:21">
      <c r="F863" s="303"/>
      <c r="G863" s="303"/>
      <c r="J863" s="303"/>
      <c r="K863" s="324"/>
      <c r="L863" s="303"/>
      <c r="M863" s="303"/>
      <c r="N863" s="303"/>
      <c r="O863" s="303"/>
      <c r="P863" s="303"/>
      <c r="Q863" s="25"/>
      <c r="R863" s="25"/>
      <c r="S863" s="25"/>
      <c r="T863" s="25"/>
      <c r="U863" s="25"/>
    </row>
    <row r="864" spans="6:21">
      <c r="F864" s="303"/>
      <c r="G864" s="303"/>
      <c r="J864" s="303"/>
      <c r="K864" s="324"/>
      <c r="L864" s="303"/>
      <c r="M864" s="303"/>
      <c r="N864" s="303"/>
      <c r="O864" s="303"/>
      <c r="P864" s="303"/>
      <c r="Q864" s="25"/>
      <c r="R864" s="25"/>
      <c r="S864" s="25"/>
      <c r="T864" s="25"/>
      <c r="U864" s="25"/>
    </row>
    <row r="865" spans="6:21">
      <c r="F865" s="303"/>
      <c r="G865" s="303"/>
      <c r="J865" s="303"/>
      <c r="K865" s="324"/>
      <c r="L865" s="303"/>
      <c r="M865" s="303"/>
      <c r="N865" s="303"/>
      <c r="O865" s="303"/>
      <c r="P865" s="303"/>
      <c r="Q865" s="25"/>
      <c r="R865" s="25"/>
      <c r="S865" s="25"/>
      <c r="T865" s="25"/>
      <c r="U865" s="25"/>
    </row>
    <row r="866" spans="6:21">
      <c r="F866" s="303"/>
      <c r="G866" s="303"/>
      <c r="J866" s="303"/>
      <c r="K866" s="324"/>
      <c r="L866" s="303"/>
      <c r="M866" s="303"/>
      <c r="N866" s="303"/>
      <c r="O866" s="303"/>
      <c r="P866" s="303"/>
      <c r="Q866" s="25"/>
      <c r="R866" s="25"/>
      <c r="S866" s="25"/>
      <c r="T866" s="25"/>
      <c r="U866" s="25"/>
    </row>
    <row r="867" spans="6:21">
      <c r="F867" s="303"/>
      <c r="G867" s="303"/>
      <c r="J867" s="303"/>
      <c r="K867" s="324"/>
      <c r="L867" s="303"/>
      <c r="M867" s="303"/>
      <c r="N867" s="303"/>
      <c r="O867" s="303"/>
      <c r="P867" s="303"/>
      <c r="Q867" s="25"/>
      <c r="R867" s="25"/>
      <c r="S867" s="25"/>
      <c r="T867" s="25"/>
      <c r="U867" s="25"/>
    </row>
    <row r="868" spans="6:21">
      <c r="F868" s="303"/>
      <c r="G868" s="303"/>
      <c r="J868" s="303"/>
      <c r="K868" s="324"/>
      <c r="L868" s="303"/>
      <c r="M868" s="303"/>
      <c r="N868" s="303"/>
      <c r="O868" s="303"/>
      <c r="P868" s="303"/>
      <c r="Q868" s="25"/>
      <c r="R868" s="25"/>
      <c r="S868" s="25"/>
      <c r="T868" s="25"/>
      <c r="U868" s="25"/>
    </row>
    <row r="869" spans="6:21">
      <c r="F869" s="303"/>
      <c r="G869" s="303"/>
      <c r="J869" s="303"/>
      <c r="K869" s="324"/>
      <c r="L869" s="303"/>
      <c r="M869" s="303"/>
      <c r="N869" s="303"/>
      <c r="O869" s="303"/>
      <c r="P869" s="303"/>
      <c r="Q869" s="25"/>
      <c r="R869" s="25"/>
      <c r="S869" s="25"/>
      <c r="T869" s="25"/>
      <c r="U869" s="25"/>
    </row>
    <row r="870" spans="6:21">
      <c r="F870" s="303"/>
      <c r="G870" s="303"/>
      <c r="J870" s="303"/>
      <c r="K870" s="324"/>
      <c r="L870" s="303"/>
      <c r="M870" s="303"/>
      <c r="N870" s="303"/>
      <c r="O870" s="303"/>
      <c r="P870" s="303"/>
      <c r="Q870" s="25"/>
      <c r="R870" s="25"/>
      <c r="S870" s="25"/>
      <c r="T870" s="25"/>
      <c r="U870" s="25"/>
    </row>
    <row r="871" spans="6:21">
      <c r="F871" s="303"/>
      <c r="G871" s="303"/>
      <c r="J871" s="303"/>
      <c r="K871" s="324"/>
      <c r="L871" s="303"/>
      <c r="M871" s="303"/>
      <c r="N871" s="303"/>
      <c r="O871" s="303"/>
      <c r="P871" s="303"/>
      <c r="Q871" s="25"/>
      <c r="R871" s="25"/>
      <c r="S871" s="25"/>
      <c r="T871" s="25"/>
      <c r="U871" s="25"/>
    </row>
    <row r="872" spans="6:21">
      <c r="F872" s="303"/>
      <c r="G872" s="303"/>
      <c r="J872" s="303"/>
      <c r="K872" s="324"/>
      <c r="L872" s="303"/>
      <c r="M872" s="303"/>
      <c r="N872" s="303"/>
      <c r="O872" s="303"/>
      <c r="P872" s="303"/>
      <c r="Q872" s="25"/>
      <c r="R872" s="25"/>
      <c r="S872" s="25"/>
      <c r="T872" s="25"/>
      <c r="U872" s="25"/>
    </row>
    <row r="873" spans="6:21">
      <c r="F873" s="303"/>
      <c r="G873" s="303"/>
      <c r="J873" s="303"/>
      <c r="K873" s="324"/>
      <c r="L873" s="303"/>
      <c r="M873" s="303"/>
      <c r="N873" s="303"/>
      <c r="O873" s="303"/>
      <c r="P873" s="303"/>
      <c r="Q873" s="25"/>
      <c r="R873" s="25"/>
      <c r="S873" s="25"/>
      <c r="T873" s="25"/>
      <c r="U873" s="25"/>
    </row>
    <row r="874" spans="6:21">
      <c r="F874" s="303"/>
      <c r="G874" s="303"/>
      <c r="J874" s="303"/>
      <c r="K874" s="324"/>
      <c r="L874" s="303"/>
      <c r="M874" s="303"/>
      <c r="N874" s="303"/>
      <c r="O874" s="303"/>
      <c r="P874" s="303"/>
      <c r="Q874" s="25"/>
      <c r="R874" s="25"/>
      <c r="S874" s="25"/>
      <c r="T874" s="25"/>
      <c r="U874" s="25"/>
    </row>
    <row r="875" spans="6:21">
      <c r="F875" s="303"/>
      <c r="G875" s="303"/>
      <c r="J875" s="303"/>
      <c r="K875" s="324"/>
      <c r="L875" s="303"/>
      <c r="M875" s="303"/>
      <c r="N875" s="303"/>
      <c r="O875" s="303"/>
      <c r="P875" s="303"/>
      <c r="Q875" s="25"/>
      <c r="R875" s="25"/>
      <c r="S875" s="25"/>
      <c r="T875" s="25"/>
      <c r="U875" s="25"/>
    </row>
    <row r="876" spans="6:21">
      <c r="F876" s="303"/>
      <c r="G876" s="303"/>
      <c r="J876" s="303"/>
      <c r="K876" s="324"/>
      <c r="L876" s="303"/>
      <c r="M876" s="303"/>
      <c r="N876" s="303"/>
      <c r="O876" s="303"/>
      <c r="P876" s="303"/>
      <c r="Q876" s="25"/>
      <c r="R876" s="25"/>
      <c r="S876" s="25"/>
      <c r="T876" s="25"/>
      <c r="U876" s="25"/>
    </row>
    <row r="877" spans="6:21">
      <c r="F877" s="303"/>
      <c r="G877" s="303"/>
      <c r="J877" s="303"/>
      <c r="K877" s="324"/>
      <c r="L877" s="303"/>
      <c r="M877" s="303"/>
      <c r="N877" s="303"/>
      <c r="O877" s="303"/>
      <c r="P877" s="303"/>
      <c r="Q877" s="25"/>
      <c r="R877" s="25"/>
      <c r="S877" s="25"/>
      <c r="T877" s="25"/>
      <c r="U877" s="25"/>
    </row>
    <row r="878" spans="6:21">
      <c r="F878" s="303"/>
      <c r="G878" s="303"/>
      <c r="J878" s="303"/>
      <c r="K878" s="324"/>
      <c r="L878" s="303"/>
      <c r="M878" s="303"/>
      <c r="N878" s="303"/>
      <c r="O878" s="303"/>
      <c r="P878" s="303"/>
      <c r="Q878" s="25"/>
      <c r="R878" s="25"/>
      <c r="S878" s="25"/>
      <c r="T878" s="25"/>
      <c r="U878" s="25"/>
    </row>
    <row r="879" spans="6:21">
      <c r="F879" s="303"/>
      <c r="G879" s="303"/>
      <c r="J879" s="303"/>
      <c r="K879" s="324"/>
      <c r="L879" s="303"/>
      <c r="M879" s="303"/>
      <c r="N879" s="303"/>
      <c r="O879" s="303"/>
      <c r="P879" s="303"/>
      <c r="Q879" s="25"/>
      <c r="R879" s="25"/>
      <c r="S879" s="25"/>
      <c r="T879" s="25"/>
      <c r="U879" s="25"/>
    </row>
    <row r="880" spans="6:21">
      <c r="F880" s="303"/>
      <c r="G880" s="303"/>
      <c r="J880" s="303"/>
      <c r="K880" s="324"/>
      <c r="L880" s="303"/>
      <c r="M880" s="303"/>
      <c r="N880" s="303"/>
      <c r="O880" s="303"/>
      <c r="P880" s="303"/>
      <c r="Q880" s="25"/>
      <c r="R880" s="25"/>
      <c r="S880" s="25"/>
      <c r="T880" s="25"/>
      <c r="U880" s="25"/>
    </row>
    <row r="881" spans="6:21">
      <c r="F881" s="303"/>
      <c r="G881" s="303"/>
      <c r="J881" s="303"/>
      <c r="K881" s="324"/>
      <c r="L881" s="303"/>
      <c r="M881" s="303"/>
      <c r="N881" s="303"/>
      <c r="O881" s="303"/>
      <c r="P881" s="303"/>
      <c r="Q881" s="25"/>
      <c r="R881" s="25"/>
      <c r="S881" s="25"/>
      <c r="T881" s="25"/>
      <c r="U881" s="25"/>
    </row>
    <row r="882" spans="6:21">
      <c r="F882" s="303"/>
      <c r="G882" s="303"/>
      <c r="J882" s="303"/>
      <c r="K882" s="324"/>
      <c r="L882" s="303"/>
      <c r="M882" s="303"/>
      <c r="N882" s="303"/>
      <c r="O882" s="303"/>
      <c r="P882" s="303"/>
      <c r="Q882" s="25"/>
      <c r="R882" s="25"/>
      <c r="S882" s="25"/>
      <c r="T882" s="25"/>
      <c r="U882" s="25"/>
    </row>
    <row r="883" spans="6:21">
      <c r="F883" s="303"/>
      <c r="G883" s="303"/>
      <c r="J883" s="303"/>
      <c r="K883" s="324"/>
      <c r="L883" s="303"/>
      <c r="M883" s="303"/>
      <c r="N883" s="303"/>
      <c r="O883" s="303"/>
      <c r="P883" s="303"/>
      <c r="Q883" s="25"/>
      <c r="R883" s="25"/>
      <c r="S883" s="25"/>
      <c r="T883" s="25"/>
      <c r="U883" s="25"/>
    </row>
    <row r="884" spans="6:21">
      <c r="F884" s="303"/>
      <c r="G884" s="303"/>
      <c r="J884" s="303"/>
      <c r="K884" s="324"/>
      <c r="L884" s="303"/>
      <c r="M884" s="303"/>
      <c r="N884" s="303"/>
      <c r="O884" s="303"/>
      <c r="P884" s="303"/>
      <c r="Q884" s="25"/>
      <c r="R884" s="25"/>
      <c r="S884" s="25"/>
      <c r="T884" s="25"/>
      <c r="U884" s="25"/>
    </row>
    <row r="885" spans="6:21">
      <c r="F885" s="303"/>
      <c r="G885" s="303"/>
      <c r="J885" s="303"/>
      <c r="K885" s="324"/>
      <c r="L885" s="303"/>
      <c r="M885" s="303"/>
      <c r="N885" s="303"/>
      <c r="O885" s="303"/>
      <c r="P885" s="303"/>
      <c r="Q885" s="25"/>
      <c r="R885" s="25"/>
      <c r="S885" s="25"/>
      <c r="T885" s="25"/>
      <c r="U885" s="25"/>
    </row>
    <row r="886" spans="6:21">
      <c r="F886" s="303"/>
      <c r="G886" s="303"/>
      <c r="J886" s="303"/>
      <c r="K886" s="324"/>
      <c r="L886" s="303"/>
      <c r="M886" s="303"/>
      <c r="N886" s="303"/>
      <c r="O886" s="303"/>
      <c r="P886" s="303"/>
      <c r="Q886" s="25"/>
      <c r="R886" s="25"/>
      <c r="S886" s="25"/>
      <c r="T886" s="25"/>
      <c r="U886" s="25"/>
    </row>
    <row r="887" spans="6:21">
      <c r="F887" s="303"/>
      <c r="G887" s="303"/>
      <c r="J887" s="303"/>
      <c r="K887" s="324"/>
      <c r="L887" s="303"/>
      <c r="M887" s="303"/>
      <c r="N887" s="303"/>
      <c r="O887" s="303"/>
      <c r="P887" s="303"/>
      <c r="Q887" s="25"/>
      <c r="R887" s="25"/>
      <c r="S887" s="25"/>
      <c r="T887" s="25"/>
      <c r="U887" s="25"/>
    </row>
    <row r="888" spans="6:21">
      <c r="F888" s="303"/>
      <c r="G888" s="303"/>
      <c r="J888" s="303"/>
      <c r="K888" s="324"/>
      <c r="L888" s="303"/>
      <c r="M888" s="303"/>
      <c r="N888" s="303"/>
      <c r="O888" s="303"/>
      <c r="P888" s="303"/>
      <c r="Q888" s="25"/>
      <c r="R888" s="25"/>
      <c r="S888" s="25"/>
      <c r="T888" s="25"/>
      <c r="U888" s="25"/>
    </row>
    <row r="889" spans="6:21">
      <c r="F889" s="303"/>
      <c r="G889" s="303"/>
      <c r="J889" s="303"/>
      <c r="K889" s="324"/>
      <c r="L889" s="303"/>
      <c r="M889" s="303"/>
      <c r="N889" s="303"/>
      <c r="O889" s="303"/>
      <c r="P889" s="303"/>
      <c r="Q889" s="25"/>
      <c r="R889" s="25"/>
      <c r="S889" s="25"/>
      <c r="T889" s="25"/>
      <c r="U889" s="25"/>
    </row>
    <row r="890" spans="6:21">
      <c r="F890" s="303"/>
      <c r="G890" s="303"/>
      <c r="J890" s="303"/>
      <c r="K890" s="324"/>
      <c r="L890" s="303"/>
      <c r="M890" s="303"/>
      <c r="N890" s="303"/>
      <c r="O890" s="303"/>
      <c r="P890" s="303"/>
      <c r="Q890" s="25"/>
      <c r="R890" s="25"/>
      <c r="S890" s="25"/>
      <c r="T890" s="25"/>
      <c r="U890" s="25"/>
    </row>
    <row r="891" spans="6:21">
      <c r="F891" s="303"/>
      <c r="G891" s="303"/>
      <c r="J891" s="303"/>
      <c r="K891" s="324"/>
      <c r="L891" s="303"/>
      <c r="M891" s="303"/>
      <c r="N891" s="303"/>
      <c r="O891" s="303"/>
      <c r="P891" s="303"/>
      <c r="Q891" s="25"/>
      <c r="R891" s="25"/>
      <c r="S891" s="25"/>
      <c r="T891" s="25"/>
      <c r="U891" s="25"/>
    </row>
    <row r="892" spans="6:21">
      <c r="F892" s="303"/>
      <c r="G892" s="303"/>
      <c r="J892" s="303"/>
      <c r="K892" s="324"/>
      <c r="L892" s="303"/>
      <c r="M892" s="303"/>
      <c r="N892" s="303"/>
      <c r="O892" s="303"/>
      <c r="P892" s="303"/>
      <c r="Q892" s="25"/>
      <c r="R892" s="25"/>
      <c r="S892" s="25"/>
      <c r="T892" s="25"/>
      <c r="U892" s="25"/>
    </row>
    <row r="893" spans="6:21">
      <c r="F893" s="303"/>
      <c r="G893" s="303"/>
      <c r="J893" s="303"/>
      <c r="K893" s="324"/>
      <c r="L893" s="303"/>
      <c r="M893" s="303"/>
      <c r="N893" s="303"/>
      <c r="O893" s="303"/>
      <c r="P893" s="303"/>
      <c r="Q893" s="25"/>
      <c r="R893" s="25"/>
      <c r="S893" s="25"/>
      <c r="T893" s="25"/>
      <c r="U893" s="25"/>
    </row>
    <row r="894" spans="6:21">
      <c r="F894" s="303"/>
      <c r="G894" s="303"/>
      <c r="J894" s="303"/>
      <c r="K894" s="324"/>
      <c r="L894" s="303"/>
      <c r="M894" s="303"/>
      <c r="N894" s="303"/>
      <c r="O894" s="303"/>
      <c r="P894" s="303"/>
      <c r="Q894" s="25"/>
      <c r="R894" s="25"/>
      <c r="S894" s="25"/>
      <c r="T894" s="25"/>
      <c r="U894" s="25"/>
    </row>
    <row r="895" spans="6:21">
      <c r="F895" s="303"/>
      <c r="G895" s="303"/>
      <c r="J895" s="303"/>
      <c r="K895" s="324"/>
      <c r="L895" s="303"/>
      <c r="M895" s="303"/>
      <c r="N895" s="303"/>
      <c r="O895" s="303"/>
      <c r="P895" s="303"/>
      <c r="Q895" s="25"/>
      <c r="R895" s="25"/>
      <c r="S895" s="25"/>
      <c r="T895" s="25"/>
      <c r="U895" s="25"/>
    </row>
    <row r="896" spans="6:21">
      <c r="F896" s="303"/>
      <c r="G896" s="303"/>
      <c r="J896" s="303"/>
      <c r="K896" s="324"/>
      <c r="L896" s="303"/>
      <c r="M896" s="303"/>
      <c r="N896" s="303"/>
      <c r="O896" s="303"/>
      <c r="P896" s="303"/>
      <c r="Q896" s="25"/>
      <c r="R896" s="25"/>
      <c r="S896" s="25"/>
      <c r="T896" s="25"/>
      <c r="U896" s="25"/>
    </row>
    <row r="897" spans="6:21">
      <c r="F897" s="303"/>
      <c r="G897" s="303"/>
      <c r="J897" s="303"/>
      <c r="K897" s="324"/>
      <c r="L897" s="303"/>
      <c r="M897" s="303"/>
      <c r="N897" s="303"/>
      <c r="O897" s="303"/>
      <c r="P897" s="303"/>
      <c r="Q897" s="25"/>
      <c r="R897" s="25"/>
      <c r="S897" s="25"/>
      <c r="T897" s="25"/>
      <c r="U897" s="25"/>
    </row>
    <row r="898" spans="6:21">
      <c r="F898" s="303"/>
      <c r="G898" s="303"/>
      <c r="J898" s="303"/>
      <c r="K898" s="324"/>
      <c r="L898" s="303"/>
      <c r="M898" s="303"/>
      <c r="N898" s="303"/>
      <c r="O898" s="303"/>
      <c r="P898" s="303"/>
      <c r="Q898" s="25"/>
      <c r="R898" s="25"/>
      <c r="S898" s="25"/>
      <c r="T898" s="25"/>
      <c r="U898" s="25"/>
    </row>
    <row r="899" spans="6:21">
      <c r="F899" s="303"/>
      <c r="G899" s="303"/>
      <c r="J899" s="303"/>
      <c r="K899" s="324"/>
      <c r="L899" s="303"/>
      <c r="M899" s="303"/>
      <c r="N899" s="303"/>
      <c r="O899" s="303"/>
      <c r="P899" s="303"/>
      <c r="Q899" s="25"/>
      <c r="R899" s="25"/>
      <c r="S899" s="25"/>
      <c r="T899" s="25"/>
      <c r="U899" s="25"/>
    </row>
    <row r="900" spans="6:21">
      <c r="F900" s="303"/>
      <c r="G900" s="303"/>
      <c r="J900" s="303"/>
      <c r="K900" s="324"/>
      <c r="L900" s="303"/>
      <c r="M900" s="303"/>
      <c r="N900" s="303"/>
      <c r="O900" s="303"/>
      <c r="P900" s="303"/>
      <c r="Q900" s="25"/>
      <c r="R900" s="25"/>
      <c r="S900" s="25"/>
      <c r="T900" s="25"/>
      <c r="U900" s="25"/>
    </row>
    <row r="901" spans="6:21">
      <c r="F901" s="303"/>
      <c r="G901" s="303"/>
      <c r="J901" s="303"/>
      <c r="K901" s="324"/>
      <c r="L901" s="303"/>
      <c r="M901" s="303"/>
      <c r="N901" s="303"/>
      <c r="O901" s="303"/>
      <c r="P901" s="303"/>
      <c r="Q901" s="25"/>
      <c r="R901" s="25"/>
      <c r="S901" s="25"/>
      <c r="T901" s="25"/>
      <c r="U901" s="25"/>
    </row>
    <row r="902" spans="6:21">
      <c r="F902" s="303"/>
      <c r="G902" s="303"/>
      <c r="J902" s="303"/>
      <c r="K902" s="324"/>
      <c r="L902" s="303"/>
      <c r="M902" s="303"/>
      <c r="N902" s="303"/>
      <c r="O902" s="303"/>
      <c r="P902" s="303"/>
      <c r="Q902" s="25"/>
      <c r="R902" s="25"/>
      <c r="S902" s="25"/>
      <c r="T902" s="25"/>
      <c r="U902" s="25"/>
    </row>
    <row r="903" spans="6:21">
      <c r="F903" s="303"/>
      <c r="G903" s="303"/>
      <c r="J903" s="303"/>
      <c r="K903" s="324"/>
      <c r="L903" s="303"/>
      <c r="M903" s="303"/>
      <c r="N903" s="303"/>
      <c r="O903" s="303"/>
      <c r="P903" s="303"/>
      <c r="Q903" s="25"/>
      <c r="R903" s="25"/>
      <c r="S903" s="25"/>
      <c r="T903" s="25"/>
      <c r="U903" s="25"/>
    </row>
    <row r="904" spans="6:21">
      <c r="F904" s="303"/>
      <c r="G904" s="303"/>
      <c r="J904" s="303"/>
      <c r="K904" s="324"/>
      <c r="L904" s="303"/>
      <c r="M904" s="303"/>
      <c r="N904" s="303"/>
      <c r="O904" s="303"/>
      <c r="P904" s="303"/>
      <c r="Q904" s="25"/>
      <c r="R904" s="25"/>
      <c r="S904" s="25"/>
      <c r="T904" s="25"/>
      <c r="U904" s="25"/>
    </row>
    <row r="905" spans="6:21">
      <c r="F905" s="303"/>
      <c r="G905" s="303"/>
      <c r="J905" s="303"/>
      <c r="K905" s="324"/>
      <c r="L905" s="303"/>
      <c r="M905" s="303"/>
      <c r="N905" s="303"/>
      <c r="O905" s="303"/>
      <c r="P905" s="303"/>
      <c r="Q905" s="25"/>
      <c r="R905" s="25"/>
      <c r="S905" s="25"/>
      <c r="T905" s="25"/>
      <c r="U905" s="25"/>
    </row>
    <row r="906" spans="6:21">
      <c r="F906" s="303"/>
      <c r="G906" s="303"/>
      <c r="J906" s="303"/>
      <c r="K906" s="324"/>
      <c r="L906" s="303"/>
      <c r="M906" s="303"/>
      <c r="N906" s="303"/>
      <c r="O906" s="303"/>
      <c r="P906" s="303"/>
      <c r="Q906" s="25"/>
      <c r="R906" s="25"/>
      <c r="S906" s="25"/>
      <c r="T906" s="25"/>
      <c r="U906" s="25"/>
    </row>
    <row r="907" spans="6:21">
      <c r="F907" s="303"/>
      <c r="G907" s="303"/>
      <c r="J907" s="303"/>
      <c r="K907" s="324"/>
      <c r="L907" s="303"/>
      <c r="M907" s="303"/>
      <c r="N907" s="303"/>
      <c r="O907" s="303"/>
      <c r="P907" s="303"/>
      <c r="Q907" s="25"/>
      <c r="R907" s="25"/>
      <c r="S907" s="25"/>
      <c r="T907" s="25"/>
      <c r="U907" s="25"/>
    </row>
    <row r="908" spans="6:21">
      <c r="F908" s="303"/>
      <c r="G908" s="303"/>
      <c r="J908" s="303"/>
      <c r="K908" s="324"/>
      <c r="L908" s="303"/>
      <c r="M908" s="303"/>
      <c r="N908" s="303"/>
      <c r="O908" s="303"/>
      <c r="P908" s="303"/>
      <c r="Q908" s="25"/>
      <c r="R908" s="25"/>
      <c r="S908" s="25"/>
      <c r="T908" s="25"/>
      <c r="U908" s="25"/>
    </row>
    <row r="909" spans="6:21">
      <c r="F909" s="303"/>
      <c r="G909" s="303"/>
      <c r="J909" s="303"/>
      <c r="K909" s="324"/>
      <c r="L909" s="303"/>
      <c r="M909" s="303"/>
      <c r="N909" s="303"/>
      <c r="O909" s="303"/>
      <c r="P909" s="303"/>
      <c r="Q909" s="25"/>
      <c r="R909" s="25"/>
      <c r="S909" s="25"/>
      <c r="T909" s="25"/>
      <c r="U909" s="25"/>
    </row>
    <row r="910" spans="6:21">
      <c r="F910" s="303"/>
      <c r="G910" s="303"/>
      <c r="J910" s="303"/>
      <c r="K910" s="324"/>
      <c r="L910" s="303"/>
      <c r="M910" s="303"/>
      <c r="N910" s="303"/>
      <c r="O910" s="303"/>
      <c r="P910" s="303"/>
      <c r="Q910" s="25"/>
      <c r="R910" s="25"/>
      <c r="S910" s="25"/>
      <c r="T910" s="25"/>
      <c r="U910" s="25"/>
    </row>
    <row r="911" spans="6:21">
      <c r="F911" s="303"/>
      <c r="G911" s="303"/>
      <c r="J911" s="303"/>
      <c r="K911" s="324"/>
      <c r="L911" s="303"/>
      <c r="M911" s="303"/>
      <c r="N911" s="303"/>
      <c r="O911" s="303"/>
      <c r="P911" s="303"/>
      <c r="Q911" s="25"/>
      <c r="R911" s="25"/>
      <c r="S911" s="25"/>
      <c r="T911" s="25"/>
      <c r="U911" s="25"/>
    </row>
    <row r="912" spans="6:21">
      <c r="F912" s="303"/>
      <c r="G912" s="303"/>
      <c r="J912" s="303"/>
      <c r="K912" s="324"/>
      <c r="L912" s="303"/>
      <c r="M912" s="303"/>
      <c r="N912" s="303"/>
      <c r="O912" s="303"/>
      <c r="P912" s="303"/>
      <c r="Q912" s="25"/>
      <c r="R912" s="25"/>
      <c r="S912" s="25"/>
      <c r="T912" s="25"/>
      <c r="U912" s="25"/>
    </row>
    <row r="913" spans="6:21">
      <c r="F913" s="303"/>
      <c r="G913" s="303"/>
      <c r="J913" s="303"/>
      <c r="K913" s="324"/>
      <c r="L913" s="303"/>
      <c r="M913" s="303"/>
      <c r="N913" s="303"/>
      <c r="O913" s="303"/>
      <c r="P913" s="303"/>
      <c r="Q913" s="25"/>
      <c r="R913" s="25"/>
      <c r="S913" s="25"/>
      <c r="T913" s="25"/>
      <c r="U913" s="25"/>
    </row>
    <row r="914" spans="6:21">
      <c r="F914" s="303"/>
      <c r="G914" s="303"/>
      <c r="J914" s="303"/>
      <c r="K914" s="324"/>
      <c r="L914" s="303"/>
      <c r="M914" s="303"/>
      <c r="N914" s="303"/>
      <c r="O914" s="303"/>
      <c r="P914" s="303"/>
      <c r="Q914" s="25"/>
      <c r="R914" s="25"/>
      <c r="S914" s="25"/>
      <c r="T914" s="25"/>
      <c r="U914" s="25"/>
    </row>
    <row r="915" spans="6:21">
      <c r="F915" s="303"/>
      <c r="G915" s="303"/>
      <c r="J915" s="303"/>
      <c r="K915" s="324"/>
      <c r="L915" s="303"/>
      <c r="M915" s="303"/>
      <c r="N915" s="303"/>
      <c r="O915" s="303"/>
      <c r="P915" s="303"/>
      <c r="Q915" s="25"/>
      <c r="R915" s="25"/>
      <c r="S915" s="25"/>
      <c r="T915" s="25"/>
      <c r="U915" s="25"/>
    </row>
    <row r="916" spans="6:21">
      <c r="F916" s="303"/>
      <c r="G916" s="303"/>
      <c r="J916" s="303"/>
      <c r="K916" s="324"/>
      <c r="L916" s="303"/>
      <c r="M916" s="303"/>
      <c r="N916" s="303"/>
      <c r="O916" s="303"/>
      <c r="P916" s="303"/>
      <c r="Q916" s="25"/>
      <c r="R916" s="25"/>
      <c r="S916" s="25"/>
      <c r="T916" s="25"/>
      <c r="U916" s="25"/>
    </row>
    <row r="917" spans="6:21">
      <c r="F917" s="303"/>
      <c r="G917" s="303"/>
      <c r="J917" s="303"/>
      <c r="K917" s="324"/>
      <c r="L917" s="303"/>
      <c r="M917" s="303"/>
      <c r="N917" s="303"/>
      <c r="O917" s="303"/>
      <c r="P917" s="303"/>
      <c r="Q917" s="25"/>
      <c r="R917" s="25"/>
      <c r="S917" s="25"/>
      <c r="T917" s="25"/>
      <c r="U917" s="25"/>
    </row>
    <row r="918" spans="6:21">
      <c r="F918" s="303"/>
      <c r="G918" s="303"/>
      <c r="J918" s="303"/>
      <c r="K918" s="324"/>
      <c r="L918" s="303"/>
      <c r="M918" s="303"/>
      <c r="N918" s="303"/>
      <c r="O918" s="303"/>
      <c r="P918" s="303"/>
      <c r="Q918" s="25"/>
      <c r="R918" s="25"/>
      <c r="S918" s="25"/>
      <c r="T918" s="25"/>
      <c r="U918" s="25"/>
    </row>
    <row r="919" spans="6:21">
      <c r="F919" s="303"/>
      <c r="G919" s="303"/>
      <c r="J919" s="303"/>
      <c r="K919" s="324"/>
      <c r="L919" s="303"/>
      <c r="M919" s="303"/>
      <c r="N919" s="303"/>
      <c r="O919" s="303"/>
      <c r="P919" s="303"/>
      <c r="Q919" s="25"/>
      <c r="R919" s="25"/>
      <c r="S919" s="25"/>
      <c r="T919" s="25"/>
      <c r="U919" s="25"/>
    </row>
    <row r="920" spans="6:21">
      <c r="F920" s="303"/>
      <c r="G920" s="303"/>
      <c r="J920" s="303"/>
      <c r="K920" s="324"/>
      <c r="L920" s="303"/>
      <c r="M920" s="303"/>
      <c r="N920" s="303"/>
      <c r="O920" s="303"/>
      <c r="P920" s="303"/>
      <c r="Q920" s="25"/>
      <c r="R920" s="25"/>
      <c r="S920" s="25"/>
      <c r="T920" s="25"/>
      <c r="U920" s="25"/>
    </row>
    <row r="921" spans="6:21">
      <c r="F921" s="303"/>
      <c r="G921" s="303"/>
      <c r="J921" s="303"/>
      <c r="K921" s="324"/>
      <c r="L921" s="303"/>
      <c r="M921" s="303"/>
      <c r="N921" s="303"/>
      <c r="O921" s="303"/>
      <c r="P921" s="303"/>
      <c r="Q921" s="25"/>
      <c r="R921" s="25"/>
      <c r="S921" s="25"/>
      <c r="T921" s="25"/>
      <c r="U921" s="25"/>
    </row>
    <row r="922" spans="6:21">
      <c r="F922" s="303"/>
      <c r="G922" s="303"/>
      <c r="J922" s="303"/>
      <c r="K922" s="324"/>
      <c r="L922" s="303"/>
      <c r="M922" s="303"/>
      <c r="N922" s="303"/>
      <c r="O922" s="303"/>
      <c r="P922" s="303"/>
      <c r="Q922" s="25"/>
      <c r="R922" s="25"/>
      <c r="S922" s="25"/>
      <c r="T922" s="25"/>
      <c r="U922" s="25"/>
    </row>
    <row r="923" spans="6:21">
      <c r="F923" s="303"/>
      <c r="G923" s="303"/>
      <c r="J923" s="303"/>
      <c r="K923" s="324"/>
      <c r="L923" s="303"/>
      <c r="M923" s="303"/>
      <c r="N923" s="303"/>
      <c r="O923" s="303"/>
      <c r="P923" s="303"/>
      <c r="Q923" s="25"/>
      <c r="R923" s="25"/>
      <c r="S923" s="25"/>
      <c r="T923" s="25"/>
      <c r="U923" s="25"/>
    </row>
    <row r="924" spans="6:21">
      <c r="F924" s="303"/>
      <c r="G924" s="303"/>
      <c r="J924" s="303"/>
      <c r="K924" s="324"/>
      <c r="L924" s="303"/>
      <c r="M924" s="303"/>
      <c r="N924" s="303"/>
      <c r="O924" s="303"/>
      <c r="P924" s="303"/>
      <c r="Q924" s="25"/>
      <c r="R924" s="25"/>
      <c r="S924" s="25"/>
      <c r="T924" s="25"/>
      <c r="U924" s="25"/>
    </row>
    <row r="925" spans="6:21">
      <c r="F925" s="303"/>
      <c r="G925" s="303"/>
      <c r="J925" s="303"/>
      <c r="K925" s="324"/>
      <c r="L925" s="303"/>
      <c r="M925" s="303"/>
      <c r="N925" s="303"/>
      <c r="O925" s="303"/>
      <c r="P925" s="303"/>
      <c r="Q925" s="25"/>
      <c r="R925" s="25"/>
      <c r="S925" s="25"/>
      <c r="T925" s="25"/>
      <c r="U925" s="25"/>
    </row>
    <row r="926" spans="6:21">
      <c r="F926" s="303"/>
      <c r="G926" s="303"/>
      <c r="J926" s="303"/>
      <c r="K926" s="324"/>
      <c r="L926" s="303"/>
      <c r="M926" s="303"/>
      <c r="N926" s="303"/>
      <c r="O926" s="303"/>
      <c r="P926" s="303"/>
      <c r="Q926" s="25"/>
      <c r="R926" s="25"/>
      <c r="S926" s="25"/>
      <c r="T926" s="25"/>
      <c r="U926" s="25"/>
    </row>
    <row r="927" spans="6:21">
      <c r="F927" s="303"/>
      <c r="G927" s="303"/>
      <c r="J927" s="303"/>
      <c r="K927" s="324"/>
      <c r="L927" s="303"/>
      <c r="M927" s="303"/>
      <c r="N927" s="303"/>
      <c r="O927" s="303"/>
      <c r="P927" s="303"/>
      <c r="Q927" s="25"/>
      <c r="R927" s="25"/>
      <c r="S927" s="25"/>
      <c r="T927" s="25"/>
      <c r="U927" s="25"/>
    </row>
    <row r="928" spans="6:21">
      <c r="F928" s="303"/>
      <c r="G928" s="303"/>
      <c r="J928" s="303"/>
      <c r="K928" s="324"/>
      <c r="L928" s="303"/>
      <c r="M928" s="303"/>
      <c r="N928" s="303"/>
      <c r="O928" s="303"/>
      <c r="P928" s="303"/>
      <c r="Q928" s="25"/>
      <c r="R928" s="25"/>
      <c r="S928" s="25"/>
      <c r="T928" s="25"/>
      <c r="U928" s="25"/>
    </row>
    <row r="929" spans="6:21">
      <c r="F929" s="303"/>
      <c r="G929" s="303"/>
      <c r="J929" s="303"/>
      <c r="K929" s="324"/>
      <c r="L929" s="303"/>
      <c r="M929" s="303"/>
      <c r="N929" s="303"/>
      <c r="O929" s="303"/>
      <c r="P929" s="303"/>
      <c r="Q929" s="25"/>
      <c r="R929" s="25"/>
      <c r="S929" s="25"/>
      <c r="T929" s="25"/>
      <c r="U929" s="25"/>
    </row>
    <row r="930" spans="6:21">
      <c r="F930" s="303"/>
      <c r="G930" s="303"/>
      <c r="J930" s="303"/>
      <c r="K930" s="324"/>
      <c r="L930" s="303"/>
      <c r="M930" s="303"/>
      <c r="N930" s="303"/>
      <c r="O930" s="303"/>
      <c r="P930" s="303"/>
      <c r="Q930" s="25"/>
      <c r="R930" s="25"/>
      <c r="S930" s="25"/>
      <c r="T930" s="25"/>
      <c r="U930" s="25"/>
    </row>
    <row r="931" spans="6:21">
      <c r="F931" s="303"/>
      <c r="G931" s="303"/>
      <c r="J931" s="303"/>
      <c r="K931" s="324"/>
      <c r="L931" s="303"/>
      <c r="M931" s="303"/>
      <c r="N931" s="303"/>
      <c r="O931" s="303"/>
      <c r="P931" s="303"/>
      <c r="Q931" s="25"/>
      <c r="R931" s="25"/>
      <c r="S931" s="25"/>
      <c r="T931" s="25"/>
      <c r="U931" s="25"/>
    </row>
    <row r="932" spans="6:21">
      <c r="F932" s="303"/>
      <c r="G932" s="303"/>
      <c r="J932" s="303"/>
      <c r="K932" s="324"/>
      <c r="L932" s="303"/>
      <c r="M932" s="303"/>
      <c r="N932" s="303"/>
      <c r="O932" s="303"/>
      <c r="P932" s="303"/>
      <c r="Q932" s="25"/>
      <c r="R932" s="25"/>
      <c r="S932" s="25"/>
      <c r="T932" s="25"/>
      <c r="U932" s="25"/>
    </row>
    <row r="933" spans="6:21">
      <c r="F933" s="303"/>
      <c r="G933" s="303"/>
      <c r="J933" s="303"/>
      <c r="K933" s="324"/>
      <c r="L933" s="303"/>
      <c r="M933" s="303"/>
      <c r="N933" s="303"/>
      <c r="O933" s="303"/>
      <c r="P933" s="303"/>
      <c r="Q933" s="25"/>
      <c r="R933" s="25"/>
      <c r="S933" s="25"/>
      <c r="T933" s="25"/>
      <c r="U933" s="25"/>
    </row>
    <row r="934" spans="6:21">
      <c r="F934" s="303"/>
      <c r="G934" s="303"/>
      <c r="J934" s="303"/>
      <c r="K934" s="324"/>
      <c r="L934" s="303"/>
      <c r="M934" s="303"/>
      <c r="N934" s="303"/>
      <c r="O934" s="303"/>
      <c r="P934" s="303"/>
      <c r="Q934" s="25"/>
      <c r="R934" s="25"/>
      <c r="S934" s="25"/>
      <c r="T934" s="25"/>
      <c r="U934" s="25"/>
    </row>
    <row r="935" spans="6:21">
      <c r="F935" s="303"/>
      <c r="G935" s="303"/>
      <c r="J935" s="303"/>
      <c r="K935" s="324"/>
      <c r="L935" s="303"/>
      <c r="M935" s="303"/>
      <c r="N935" s="303"/>
      <c r="O935" s="303"/>
      <c r="P935" s="303"/>
      <c r="Q935" s="25"/>
      <c r="R935" s="25"/>
      <c r="S935" s="25"/>
      <c r="T935" s="25"/>
      <c r="U935" s="25"/>
    </row>
    <row r="936" spans="6:21">
      <c r="F936" s="303"/>
      <c r="G936" s="303"/>
      <c r="J936" s="303"/>
      <c r="K936" s="324"/>
      <c r="L936" s="303"/>
      <c r="M936" s="303"/>
      <c r="N936" s="303"/>
      <c r="O936" s="303"/>
      <c r="P936" s="303"/>
      <c r="Q936" s="25"/>
      <c r="R936" s="25"/>
      <c r="S936" s="25"/>
      <c r="T936" s="25"/>
      <c r="U936" s="25"/>
    </row>
    <row r="937" spans="6:21">
      <c r="F937" s="303"/>
      <c r="G937" s="303"/>
      <c r="J937" s="303"/>
      <c r="K937" s="324"/>
      <c r="L937" s="303"/>
      <c r="M937" s="303"/>
      <c r="N937" s="303"/>
      <c r="O937" s="303"/>
      <c r="P937" s="303"/>
      <c r="Q937" s="25"/>
      <c r="R937" s="25"/>
      <c r="S937" s="25"/>
      <c r="T937" s="25"/>
      <c r="U937" s="25"/>
    </row>
    <row r="938" spans="6:21">
      <c r="F938" s="303"/>
      <c r="G938" s="303"/>
      <c r="J938" s="303"/>
      <c r="K938" s="324"/>
      <c r="L938" s="303"/>
      <c r="M938" s="303"/>
      <c r="N938" s="303"/>
      <c r="O938" s="303"/>
      <c r="P938" s="303"/>
      <c r="Q938" s="25"/>
      <c r="R938" s="25"/>
      <c r="S938" s="25"/>
      <c r="T938" s="25"/>
      <c r="U938" s="25"/>
    </row>
    <row r="939" spans="6:21">
      <c r="F939" s="303"/>
      <c r="G939" s="303"/>
      <c r="J939" s="303"/>
      <c r="K939" s="324"/>
      <c r="L939" s="303"/>
      <c r="M939" s="303"/>
      <c r="N939" s="303"/>
      <c r="O939" s="303"/>
      <c r="P939" s="303"/>
      <c r="Q939" s="25"/>
      <c r="R939" s="25"/>
      <c r="S939" s="25"/>
      <c r="T939" s="25"/>
      <c r="U939" s="25"/>
    </row>
    <row r="940" spans="6:21">
      <c r="F940" s="303"/>
      <c r="G940" s="303"/>
      <c r="J940" s="303"/>
      <c r="K940" s="324"/>
      <c r="L940" s="303"/>
      <c r="M940" s="303"/>
      <c r="N940" s="303"/>
      <c r="O940" s="303"/>
      <c r="P940" s="303"/>
      <c r="Q940" s="25"/>
      <c r="R940" s="25"/>
      <c r="S940" s="25"/>
      <c r="T940" s="25"/>
      <c r="U940" s="25"/>
    </row>
    <row r="941" spans="6:21">
      <c r="F941" s="303"/>
      <c r="G941" s="303"/>
      <c r="J941" s="303"/>
      <c r="K941" s="324"/>
      <c r="L941" s="303"/>
      <c r="M941" s="303"/>
      <c r="N941" s="303"/>
      <c r="O941" s="303"/>
      <c r="P941" s="303"/>
      <c r="Q941" s="25"/>
      <c r="R941" s="25"/>
      <c r="S941" s="25"/>
      <c r="T941" s="25"/>
      <c r="U941" s="25"/>
    </row>
    <row r="942" spans="6:21">
      <c r="F942" s="303"/>
      <c r="G942" s="303"/>
      <c r="J942" s="303"/>
      <c r="K942" s="324"/>
      <c r="L942" s="303"/>
      <c r="M942" s="303"/>
      <c r="N942" s="303"/>
      <c r="O942" s="303"/>
      <c r="P942" s="303"/>
      <c r="Q942" s="25"/>
      <c r="R942" s="25"/>
      <c r="S942" s="25"/>
      <c r="T942" s="25"/>
      <c r="U942" s="25"/>
    </row>
    <row r="943" spans="6:21">
      <c r="F943" s="303"/>
      <c r="G943" s="303"/>
      <c r="J943" s="303"/>
      <c r="K943" s="324"/>
      <c r="L943" s="303"/>
      <c r="M943" s="303"/>
      <c r="N943" s="303"/>
      <c r="O943" s="303"/>
      <c r="P943" s="303"/>
      <c r="Q943" s="25"/>
      <c r="R943" s="25"/>
      <c r="S943" s="25"/>
      <c r="T943" s="25"/>
      <c r="U943" s="25"/>
    </row>
    <row r="944" spans="6:21">
      <c r="F944" s="303"/>
      <c r="G944" s="303"/>
      <c r="J944" s="303"/>
      <c r="K944" s="324"/>
      <c r="L944" s="303"/>
      <c r="M944" s="303"/>
      <c r="N944" s="303"/>
      <c r="O944" s="303"/>
      <c r="P944" s="303"/>
      <c r="Q944" s="25"/>
      <c r="R944" s="25"/>
      <c r="S944" s="25"/>
      <c r="T944" s="25"/>
      <c r="U944" s="25"/>
    </row>
    <row r="945" spans="6:21">
      <c r="F945" s="303"/>
      <c r="G945" s="303"/>
      <c r="J945" s="303"/>
      <c r="K945" s="324"/>
      <c r="L945" s="303"/>
      <c r="M945" s="303"/>
      <c r="N945" s="303"/>
      <c r="O945" s="303"/>
      <c r="P945" s="303"/>
      <c r="Q945" s="25"/>
      <c r="R945" s="25"/>
      <c r="S945" s="25"/>
      <c r="T945" s="25"/>
      <c r="U945" s="25"/>
    </row>
    <row r="946" spans="6:21">
      <c r="F946" s="303"/>
      <c r="G946" s="303"/>
      <c r="J946" s="303"/>
      <c r="K946" s="324"/>
      <c r="L946" s="303"/>
      <c r="M946" s="303"/>
      <c r="N946" s="303"/>
      <c r="O946" s="303"/>
      <c r="P946" s="303"/>
      <c r="Q946" s="25"/>
      <c r="R946" s="25"/>
      <c r="S946" s="25"/>
      <c r="T946" s="25"/>
      <c r="U946" s="25"/>
    </row>
    <row r="947" spans="6:21">
      <c r="F947" s="303"/>
      <c r="G947" s="303"/>
      <c r="J947" s="303"/>
      <c r="K947" s="324"/>
      <c r="L947" s="303"/>
      <c r="M947" s="303"/>
      <c r="N947" s="303"/>
      <c r="O947" s="303"/>
      <c r="P947" s="303"/>
      <c r="Q947" s="25"/>
      <c r="R947" s="25"/>
      <c r="S947" s="25"/>
      <c r="T947" s="25"/>
      <c r="U947" s="25"/>
    </row>
    <row r="948" spans="6:21">
      <c r="F948" s="303"/>
      <c r="G948" s="303"/>
      <c r="J948" s="303"/>
      <c r="K948" s="324"/>
      <c r="L948" s="303"/>
      <c r="M948" s="303"/>
      <c r="N948" s="303"/>
      <c r="O948" s="303"/>
      <c r="P948" s="303"/>
      <c r="Q948" s="25"/>
      <c r="R948" s="25"/>
      <c r="S948" s="25"/>
      <c r="T948" s="25"/>
      <c r="U948" s="25"/>
    </row>
    <row r="949" spans="6:21">
      <c r="F949" s="303"/>
      <c r="G949" s="303"/>
      <c r="J949" s="303"/>
      <c r="K949" s="324"/>
      <c r="L949" s="303"/>
      <c r="M949" s="303"/>
      <c r="N949" s="303"/>
      <c r="O949" s="303"/>
      <c r="P949" s="303"/>
      <c r="Q949" s="25"/>
      <c r="R949" s="25"/>
      <c r="S949" s="25"/>
      <c r="T949" s="25"/>
      <c r="U949" s="25"/>
    </row>
    <row r="950" spans="6:21">
      <c r="F950" s="303"/>
      <c r="G950" s="303"/>
      <c r="J950" s="303"/>
      <c r="K950" s="324"/>
      <c r="L950" s="303"/>
      <c r="M950" s="303"/>
      <c r="N950" s="303"/>
      <c r="O950" s="303"/>
      <c r="P950" s="303"/>
      <c r="Q950" s="25"/>
      <c r="R950" s="25"/>
      <c r="S950" s="25"/>
      <c r="T950" s="25"/>
      <c r="U950" s="25"/>
    </row>
    <row r="951" spans="6:21">
      <c r="F951" s="303"/>
      <c r="G951" s="303"/>
      <c r="J951" s="303"/>
      <c r="K951" s="324"/>
      <c r="L951" s="303"/>
      <c r="M951" s="303"/>
      <c r="N951" s="303"/>
      <c r="O951" s="303"/>
      <c r="P951" s="303"/>
      <c r="Q951" s="25"/>
      <c r="R951" s="25"/>
      <c r="S951" s="25"/>
      <c r="T951" s="25"/>
      <c r="U951" s="25"/>
    </row>
    <row r="952" spans="6:21">
      <c r="F952" s="303"/>
      <c r="G952" s="303"/>
      <c r="J952" s="303"/>
      <c r="K952" s="324"/>
      <c r="L952" s="303"/>
      <c r="M952" s="303"/>
      <c r="N952" s="303"/>
      <c r="O952" s="303"/>
      <c r="P952" s="303"/>
      <c r="Q952" s="25"/>
      <c r="R952" s="25"/>
      <c r="S952" s="25"/>
      <c r="T952" s="25"/>
      <c r="U952" s="25"/>
    </row>
    <row r="953" spans="6:21">
      <c r="F953" s="303"/>
      <c r="G953" s="303"/>
      <c r="J953" s="303"/>
      <c r="K953" s="324"/>
      <c r="L953" s="303"/>
      <c r="M953" s="303"/>
      <c r="N953" s="303"/>
      <c r="O953" s="303"/>
      <c r="P953" s="303"/>
      <c r="Q953" s="25"/>
      <c r="R953" s="25"/>
      <c r="S953" s="25"/>
      <c r="T953" s="25"/>
      <c r="U953" s="25"/>
    </row>
    <row r="954" spans="6:21">
      <c r="F954" s="303"/>
      <c r="G954" s="303"/>
      <c r="J954" s="303"/>
      <c r="K954" s="324"/>
      <c r="L954" s="303"/>
      <c r="M954" s="303"/>
      <c r="N954" s="303"/>
      <c r="O954" s="303"/>
      <c r="P954" s="303"/>
      <c r="Q954" s="25"/>
      <c r="R954" s="25"/>
      <c r="S954" s="25"/>
      <c r="T954" s="25"/>
      <c r="U954" s="25"/>
    </row>
    <row r="955" spans="6:21">
      <c r="F955" s="303"/>
      <c r="G955" s="303"/>
      <c r="J955" s="303"/>
      <c r="K955" s="324"/>
      <c r="L955" s="303"/>
      <c r="M955" s="303"/>
      <c r="N955" s="303"/>
      <c r="O955" s="303"/>
      <c r="P955" s="303"/>
      <c r="Q955" s="25"/>
      <c r="R955" s="25"/>
      <c r="S955" s="25"/>
      <c r="T955" s="25"/>
      <c r="U955" s="25"/>
    </row>
    <row r="956" spans="6:21">
      <c r="F956" s="303"/>
      <c r="G956" s="303"/>
      <c r="J956" s="303"/>
      <c r="K956" s="324"/>
      <c r="L956" s="303"/>
      <c r="M956" s="303"/>
      <c r="N956" s="303"/>
      <c r="O956" s="303"/>
      <c r="P956" s="303"/>
      <c r="Q956" s="25"/>
      <c r="R956" s="25"/>
      <c r="S956" s="25"/>
      <c r="T956" s="25"/>
      <c r="U956" s="25"/>
    </row>
    <row r="957" spans="6:21">
      <c r="F957" s="303"/>
      <c r="G957" s="303"/>
      <c r="J957" s="303"/>
      <c r="K957" s="324"/>
      <c r="L957" s="303"/>
      <c r="M957" s="303"/>
      <c r="N957" s="303"/>
      <c r="O957" s="303"/>
      <c r="P957" s="303"/>
      <c r="Q957" s="25"/>
      <c r="R957" s="25"/>
      <c r="S957" s="25"/>
      <c r="T957" s="25"/>
      <c r="U957" s="25"/>
    </row>
    <row r="958" spans="6:21">
      <c r="F958" s="303"/>
      <c r="G958" s="303"/>
      <c r="J958" s="303"/>
      <c r="K958" s="324"/>
      <c r="L958" s="303"/>
      <c r="M958" s="303"/>
      <c r="N958" s="303"/>
      <c r="O958" s="303"/>
      <c r="P958" s="303"/>
      <c r="Q958" s="25"/>
      <c r="R958" s="25"/>
      <c r="S958" s="25"/>
      <c r="T958" s="25"/>
      <c r="U958" s="25"/>
    </row>
    <row r="959" spans="6:21">
      <c r="F959" s="303"/>
      <c r="G959" s="303"/>
      <c r="J959" s="303"/>
      <c r="K959" s="324"/>
      <c r="L959" s="303"/>
      <c r="M959" s="303"/>
      <c r="N959" s="303"/>
      <c r="O959" s="303"/>
      <c r="P959" s="303"/>
      <c r="Q959" s="25"/>
      <c r="R959" s="25"/>
      <c r="S959" s="25"/>
      <c r="T959" s="25"/>
      <c r="U959" s="25"/>
    </row>
    <row r="960" spans="6:21">
      <c r="F960" s="303"/>
      <c r="G960" s="303"/>
      <c r="J960" s="303"/>
      <c r="K960" s="324"/>
      <c r="L960" s="303"/>
      <c r="M960" s="303"/>
      <c r="N960" s="303"/>
      <c r="O960" s="303"/>
      <c r="P960" s="303"/>
      <c r="Q960" s="25"/>
      <c r="R960" s="25"/>
      <c r="S960" s="25"/>
      <c r="T960" s="25"/>
      <c r="U960" s="25"/>
    </row>
    <row r="961" spans="6:21">
      <c r="F961" s="303"/>
      <c r="G961" s="303"/>
      <c r="J961" s="303"/>
      <c r="K961" s="324"/>
      <c r="L961" s="303"/>
      <c r="M961" s="303"/>
      <c r="N961" s="303"/>
      <c r="O961" s="303"/>
      <c r="P961" s="303"/>
      <c r="Q961" s="25"/>
      <c r="R961" s="25"/>
      <c r="S961" s="25"/>
      <c r="T961" s="25"/>
      <c r="U961" s="25"/>
    </row>
    <row r="962" spans="6:21">
      <c r="F962" s="303"/>
      <c r="G962" s="303"/>
      <c r="J962" s="303"/>
      <c r="K962" s="324"/>
      <c r="L962" s="303"/>
      <c r="M962" s="303"/>
      <c r="N962" s="303"/>
      <c r="O962" s="303"/>
      <c r="P962" s="303"/>
      <c r="Q962" s="25"/>
      <c r="R962" s="25"/>
      <c r="S962" s="25"/>
      <c r="T962" s="25"/>
      <c r="U962" s="25"/>
    </row>
    <row r="963" spans="6:21">
      <c r="F963" s="303"/>
      <c r="G963" s="303"/>
      <c r="J963" s="303"/>
      <c r="K963" s="324"/>
      <c r="L963" s="303"/>
      <c r="M963" s="303"/>
      <c r="N963" s="303"/>
      <c r="O963" s="303"/>
      <c r="P963" s="303"/>
      <c r="Q963" s="25"/>
      <c r="R963" s="25"/>
      <c r="S963" s="25"/>
      <c r="T963" s="25"/>
      <c r="U963" s="25"/>
    </row>
    <row r="964" spans="6:21">
      <c r="F964" s="303"/>
      <c r="G964" s="303"/>
      <c r="J964" s="303"/>
      <c r="K964" s="324"/>
      <c r="L964" s="303"/>
      <c r="M964" s="303"/>
      <c r="N964" s="303"/>
      <c r="O964" s="303"/>
      <c r="P964" s="303"/>
      <c r="Q964" s="25"/>
      <c r="R964" s="25"/>
      <c r="S964" s="25"/>
      <c r="T964" s="25"/>
      <c r="U964" s="25"/>
    </row>
    <row r="965" spans="6:21">
      <c r="F965" s="303"/>
      <c r="G965" s="303"/>
      <c r="J965" s="303"/>
      <c r="K965" s="324"/>
      <c r="L965" s="303"/>
      <c r="M965" s="303"/>
      <c r="N965" s="303"/>
      <c r="O965" s="303"/>
      <c r="P965" s="303"/>
      <c r="Q965" s="25"/>
      <c r="R965" s="25"/>
      <c r="S965" s="25"/>
      <c r="T965" s="25"/>
      <c r="U965" s="25"/>
    </row>
    <row r="966" spans="6:21">
      <c r="F966" s="303"/>
      <c r="G966" s="303"/>
      <c r="J966" s="303"/>
      <c r="K966" s="324"/>
      <c r="L966" s="303"/>
      <c r="M966" s="303"/>
      <c r="N966" s="303"/>
      <c r="O966" s="303"/>
      <c r="P966" s="303"/>
      <c r="Q966" s="25"/>
      <c r="R966" s="25"/>
      <c r="S966" s="25"/>
      <c r="T966" s="25"/>
      <c r="U966" s="25"/>
    </row>
    <row r="967" spans="6:21">
      <c r="F967" s="303"/>
      <c r="G967" s="303"/>
      <c r="J967" s="303"/>
      <c r="K967" s="324"/>
      <c r="L967" s="303"/>
      <c r="M967" s="303"/>
      <c r="N967" s="303"/>
      <c r="O967" s="303"/>
      <c r="P967" s="303"/>
      <c r="Q967" s="25"/>
      <c r="R967" s="25"/>
      <c r="S967" s="25"/>
      <c r="T967" s="25"/>
      <c r="U967" s="25"/>
    </row>
    <row r="968" spans="6:21">
      <c r="F968" s="303"/>
      <c r="G968" s="303"/>
      <c r="J968" s="303"/>
      <c r="K968" s="324"/>
      <c r="L968" s="303"/>
      <c r="M968" s="303"/>
      <c r="N968" s="303"/>
      <c r="O968" s="303"/>
      <c r="P968" s="303"/>
      <c r="Q968" s="25"/>
      <c r="R968" s="25"/>
      <c r="S968" s="25"/>
      <c r="T968" s="25"/>
      <c r="U968" s="25"/>
    </row>
    <row r="969" spans="6:21">
      <c r="F969" s="303"/>
      <c r="G969" s="303"/>
      <c r="J969" s="303"/>
      <c r="K969" s="324"/>
      <c r="L969" s="303"/>
      <c r="M969" s="303"/>
      <c r="N969" s="303"/>
      <c r="O969" s="303"/>
      <c r="P969" s="303"/>
      <c r="Q969" s="25"/>
      <c r="R969" s="25"/>
      <c r="S969" s="25"/>
      <c r="T969" s="25"/>
      <c r="U969" s="25"/>
    </row>
    <row r="970" spans="6:21">
      <c r="F970" s="303"/>
      <c r="G970" s="303"/>
      <c r="J970" s="303"/>
      <c r="K970" s="324"/>
      <c r="L970" s="303"/>
      <c r="M970" s="303"/>
      <c r="N970" s="303"/>
      <c r="O970" s="303"/>
      <c r="P970" s="303"/>
      <c r="Q970" s="25"/>
      <c r="R970" s="25"/>
      <c r="S970" s="25"/>
      <c r="T970" s="25"/>
      <c r="U970" s="25"/>
    </row>
    <row r="971" spans="6:21">
      <c r="F971" s="303"/>
      <c r="G971" s="303"/>
      <c r="J971" s="303"/>
      <c r="K971" s="324"/>
      <c r="L971" s="303"/>
      <c r="M971" s="303"/>
      <c r="N971" s="303"/>
      <c r="O971" s="303"/>
      <c r="P971" s="303"/>
      <c r="Q971" s="25"/>
      <c r="R971" s="25"/>
      <c r="S971" s="25"/>
      <c r="T971" s="25"/>
      <c r="U971" s="25"/>
    </row>
    <row r="972" spans="6:21">
      <c r="F972" s="303"/>
      <c r="G972" s="303"/>
      <c r="J972" s="303"/>
      <c r="K972" s="324"/>
      <c r="L972" s="303"/>
      <c r="M972" s="303"/>
      <c r="N972" s="303"/>
      <c r="O972" s="303"/>
      <c r="P972" s="303"/>
      <c r="Q972" s="25"/>
      <c r="R972" s="25"/>
      <c r="S972" s="25"/>
      <c r="T972" s="25"/>
      <c r="U972" s="25"/>
    </row>
    <row r="973" spans="6:21">
      <c r="F973" s="303"/>
      <c r="G973" s="303"/>
      <c r="J973" s="303"/>
      <c r="K973" s="324"/>
      <c r="L973" s="303"/>
      <c r="M973" s="303"/>
      <c r="N973" s="303"/>
      <c r="O973" s="303"/>
      <c r="P973" s="303"/>
      <c r="Q973" s="25"/>
      <c r="R973" s="25"/>
      <c r="S973" s="25"/>
      <c r="T973" s="25"/>
      <c r="U973" s="25"/>
    </row>
    <row r="974" spans="6:21">
      <c r="F974" s="303"/>
      <c r="G974" s="303"/>
      <c r="J974" s="303"/>
      <c r="K974" s="324"/>
      <c r="L974" s="303"/>
      <c r="M974" s="303"/>
      <c r="N974" s="303"/>
      <c r="O974" s="303"/>
      <c r="P974" s="303"/>
      <c r="Q974" s="25"/>
      <c r="R974" s="25"/>
      <c r="S974" s="25"/>
      <c r="T974" s="25"/>
      <c r="U974" s="25"/>
    </row>
    <row r="975" spans="6:21">
      <c r="F975" s="303"/>
      <c r="G975" s="303"/>
      <c r="J975" s="303"/>
      <c r="K975" s="324"/>
      <c r="L975" s="303"/>
      <c r="M975" s="303"/>
      <c r="N975" s="303"/>
      <c r="O975" s="303"/>
      <c r="P975" s="303"/>
      <c r="Q975" s="25"/>
      <c r="R975" s="25"/>
      <c r="S975" s="25"/>
      <c r="T975" s="25"/>
      <c r="U975" s="25"/>
    </row>
    <row r="976" spans="6:21">
      <c r="F976" s="303"/>
      <c r="G976" s="303"/>
      <c r="J976" s="303"/>
      <c r="K976" s="324"/>
      <c r="L976" s="303"/>
      <c r="M976" s="303"/>
      <c r="N976" s="303"/>
      <c r="O976" s="303"/>
      <c r="P976" s="303"/>
      <c r="Q976" s="25"/>
      <c r="R976" s="25"/>
      <c r="S976" s="25"/>
      <c r="T976" s="25"/>
      <c r="U976" s="25"/>
    </row>
    <row r="977" spans="6:21">
      <c r="F977" s="303"/>
      <c r="G977" s="303"/>
      <c r="J977" s="303"/>
      <c r="K977" s="324"/>
      <c r="L977" s="303"/>
      <c r="M977" s="303"/>
      <c r="N977" s="303"/>
      <c r="O977" s="303"/>
      <c r="P977" s="303"/>
      <c r="Q977" s="25"/>
      <c r="R977" s="25"/>
      <c r="S977" s="25"/>
      <c r="T977" s="25"/>
      <c r="U977" s="25"/>
    </row>
    <row r="978" spans="6:21">
      <c r="F978" s="303"/>
      <c r="G978" s="303"/>
      <c r="J978" s="303"/>
      <c r="K978" s="324"/>
      <c r="L978" s="303"/>
      <c r="M978" s="303"/>
      <c r="N978" s="303"/>
      <c r="O978" s="303"/>
      <c r="P978" s="303"/>
      <c r="Q978" s="25"/>
      <c r="R978" s="25"/>
      <c r="S978" s="25"/>
      <c r="T978" s="25"/>
      <c r="U978" s="25"/>
    </row>
    <row r="979" spans="6:21">
      <c r="F979" s="303"/>
      <c r="G979" s="303"/>
      <c r="J979" s="303"/>
      <c r="K979" s="324"/>
      <c r="L979" s="303"/>
      <c r="M979" s="303"/>
      <c r="N979" s="303"/>
      <c r="O979" s="303"/>
      <c r="P979" s="303"/>
      <c r="Q979" s="25"/>
      <c r="R979" s="25"/>
      <c r="S979" s="25"/>
      <c r="T979" s="25"/>
      <c r="U979" s="25"/>
    </row>
    <row r="980" spans="6:21">
      <c r="F980" s="303"/>
      <c r="G980" s="303"/>
      <c r="J980" s="303"/>
      <c r="K980" s="324"/>
      <c r="L980" s="303"/>
      <c r="M980" s="303"/>
      <c r="N980" s="303"/>
      <c r="O980" s="303"/>
      <c r="P980" s="303"/>
      <c r="Q980" s="25"/>
      <c r="R980" s="25"/>
      <c r="S980" s="25"/>
      <c r="T980" s="25"/>
      <c r="U980" s="25"/>
    </row>
    <row r="981" spans="6:21">
      <c r="F981" s="303"/>
      <c r="G981" s="303"/>
      <c r="J981" s="303"/>
      <c r="K981" s="324"/>
      <c r="L981" s="303"/>
      <c r="M981" s="303"/>
      <c r="N981" s="303"/>
      <c r="O981" s="303"/>
      <c r="P981" s="303"/>
      <c r="Q981" s="25"/>
      <c r="R981" s="25"/>
      <c r="S981" s="25"/>
      <c r="T981" s="25"/>
      <c r="U981" s="25"/>
    </row>
    <row r="982" spans="6:21">
      <c r="F982" s="303"/>
      <c r="G982" s="303"/>
      <c r="J982" s="303"/>
      <c r="K982" s="324"/>
      <c r="L982" s="303"/>
      <c r="M982" s="303"/>
      <c r="N982" s="303"/>
      <c r="O982" s="303"/>
      <c r="P982" s="303"/>
      <c r="Q982" s="25"/>
      <c r="R982" s="25"/>
      <c r="S982" s="25"/>
      <c r="T982" s="25"/>
      <c r="U982" s="25"/>
    </row>
    <row r="983" spans="6:21">
      <c r="F983" s="303"/>
      <c r="G983" s="303"/>
      <c r="J983" s="303"/>
      <c r="K983" s="324"/>
      <c r="L983" s="303"/>
      <c r="M983" s="303"/>
      <c r="N983" s="303"/>
      <c r="O983" s="303"/>
      <c r="P983" s="303"/>
      <c r="Q983" s="25"/>
      <c r="R983" s="25"/>
      <c r="S983" s="25"/>
      <c r="T983" s="25"/>
      <c r="U983" s="25"/>
    </row>
    <row r="984" spans="6:21">
      <c r="F984" s="303"/>
      <c r="G984" s="303"/>
      <c r="J984" s="303"/>
      <c r="K984" s="324"/>
      <c r="L984" s="303"/>
      <c r="M984" s="303"/>
      <c r="N984" s="303"/>
      <c r="O984" s="303"/>
      <c r="P984" s="303"/>
      <c r="Q984" s="25"/>
      <c r="R984" s="25"/>
      <c r="S984" s="25"/>
      <c r="T984" s="25"/>
      <c r="U984" s="25"/>
    </row>
    <row r="985" spans="6:21">
      <c r="F985" s="303"/>
      <c r="G985" s="303"/>
      <c r="J985" s="303"/>
      <c r="K985" s="324"/>
      <c r="L985" s="303"/>
      <c r="M985" s="303"/>
      <c r="N985" s="303"/>
      <c r="O985" s="303"/>
      <c r="P985" s="303"/>
      <c r="Q985" s="25"/>
      <c r="R985" s="25"/>
      <c r="S985" s="25"/>
      <c r="T985" s="25"/>
      <c r="U985" s="25"/>
    </row>
    <row r="986" spans="6:21">
      <c r="F986" s="303"/>
      <c r="G986" s="303"/>
      <c r="J986" s="303"/>
      <c r="K986" s="324"/>
      <c r="L986" s="303"/>
      <c r="M986" s="303"/>
      <c r="N986" s="303"/>
      <c r="O986" s="303"/>
      <c r="P986" s="303"/>
      <c r="Q986" s="25"/>
      <c r="R986" s="25"/>
      <c r="S986" s="25"/>
      <c r="T986" s="25"/>
      <c r="U986" s="25"/>
    </row>
    <row r="987" spans="6:21">
      <c r="F987" s="303"/>
      <c r="G987" s="303"/>
      <c r="J987" s="303"/>
      <c r="K987" s="324"/>
      <c r="L987" s="303"/>
      <c r="M987" s="303"/>
      <c r="N987" s="303"/>
      <c r="O987" s="303"/>
      <c r="P987" s="303"/>
      <c r="Q987" s="25"/>
      <c r="R987" s="25"/>
      <c r="S987" s="25"/>
      <c r="T987" s="25"/>
      <c r="U987" s="25"/>
    </row>
    <row r="988" spans="6:21">
      <c r="F988" s="303"/>
      <c r="G988" s="303"/>
      <c r="J988" s="303"/>
      <c r="K988" s="324"/>
      <c r="L988" s="303"/>
      <c r="M988" s="303"/>
      <c r="N988" s="303"/>
      <c r="O988" s="303"/>
      <c r="P988" s="303"/>
      <c r="Q988" s="25"/>
      <c r="R988" s="25"/>
      <c r="S988" s="25"/>
      <c r="T988" s="25"/>
      <c r="U988" s="25"/>
    </row>
    <row r="989" spans="6:21">
      <c r="F989" s="303"/>
      <c r="G989" s="303"/>
      <c r="J989" s="303"/>
      <c r="K989" s="324"/>
      <c r="L989" s="303"/>
      <c r="M989" s="303"/>
      <c r="N989" s="303"/>
      <c r="O989" s="303"/>
      <c r="P989" s="303"/>
      <c r="Q989" s="25"/>
      <c r="R989" s="25"/>
      <c r="S989" s="25"/>
      <c r="T989" s="25"/>
      <c r="U989" s="25"/>
    </row>
    <row r="990" spans="6:21">
      <c r="F990" s="303"/>
      <c r="G990" s="303"/>
      <c r="J990" s="303"/>
      <c r="K990" s="324"/>
      <c r="L990" s="303"/>
      <c r="M990" s="303"/>
      <c r="N990" s="303"/>
      <c r="O990" s="303"/>
      <c r="P990" s="303"/>
      <c r="Q990" s="25"/>
      <c r="R990" s="25"/>
      <c r="S990" s="25"/>
      <c r="T990" s="25"/>
      <c r="U990" s="25"/>
    </row>
    <row r="991" spans="6:21">
      <c r="F991" s="303"/>
      <c r="G991" s="303"/>
      <c r="J991" s="303"/>
      <c r="K991" s="324"/>
      <c r="L991" s="303"/>
      <c r="M991" s="303"/>
      <c r="N991" s="303"/>
      <c r="O991" s="303"/>
      <c r="P991" s="303"/>
      <c r="Q991" s="25"/>
      <c r="R991" s="25"/>
      <c r="S991" s="25"/>
      <c r="T991" s="25"/>
      <c r="U991" s="25"/>
    </row>
    <row r="992" spans="6:21">
      <c r="F992" s="303"/>
      <c r="G992" s="303"/>
      <c r="J992" s="303"/>
      <c r="K992" s="324"/>
      <c r="L992" s="303"/>
      <c r="M992" s="303"/>
      <c r="N992" s="303"/>
      <c r="O992" s="303"/>
      <c r="P992" s="303"/>
      <c r="Q992" s="25"/>
      <c r="R992" s="25"/>
      <c r="S992" s="25"/>
      <c r="T992" s="25"/>
      <c r="U992" s="25"/>
    </row>
    <row r="993" spans="6:21">
      <c r="F993" s="303"/>
      <c r="G993" s="303"/>
      <c r="J993" s="303"/>
      <c r="K993" s="324"/>
      <c r="L993" s="303"/>
      <c r="M993" s="303"/>
      <c r="N993" s="303"/>
      <c r="O993" s="303"/>
      <c r="P993" s="303"/>
      <c r="Q993" s="25"/>
      <c r="R993" s="25"/>
      <c r="S993" s="25"/>
      <c r="T993" s="25"/>
      <c r="U993" s="25"/>
    </row>
    <row r="994" spans="6:21">
      <c r="F994" s="303"/>
      <c r="G994" s="303"/>
      <c r="J994" s="303"/>
      <c r="K994" s="324"/>
      <c r="L994" s="303"/>
      <c r="M994" s="303"/>
      <c r="N994" s="303"/>
      <c r="O994" s="303"/>
      <c r="P994" s="303"/>
      <c r="Q994" s="25"/>
      <c r="R994" s="25"/>
      <c r="S994" s="25"/>
      <c r="T994" s="25"/>
      <c r="U994" s="25"/>
    </row>
    <row r="995" spans="6:21">
      <c r="F995" s="303"/>
      <c r="G995" s="303"/>
      <c r="J995" s="303"/>
      <c r="K995" s="324"/>
      <c r="L995" s="303"/>
      <c r="M995" s="303"/>
      <c r="N995" s="303"/>
      <c r="O995" s="303"/>
      <c r="P995" s="303"/>
      <c r="Q995" s="25"/>
      <c r="R995" s="25"/>
      <c r="S995" s="25"/>
      <c r="T995" s="25"/>
      <c r="U995" s="25"/>
    </row>
    <row r="996" spans="6:21">
      <c r="F996" s="303"/>
      <c r="G996" s="303"/>
      <c r="J996" s="303"/>
      <c r="K996" s="324"/>
      <c r="L996" s="303"/>
      <c r="M996" s="303"/>
      <c r="N996" s="303"/>
      <c r="O996" s="303"/>
      <c r="P996" s="303"/>
      <c r="Q996" s="25"/>
      <c r="R996" s="25"/>
      <c r="S996" s="25"/>
      <c r="T996" s="25"/>
      <c r="U996" s="25"/>
    </row>
    <row r="997" spans="6:21">
      <c r="F997" s="303"/>
      <c r="G997" s="303"/>
      <c r="J997" s="303"/>
      <c r="K997" s="324"/>
      <c r="L997" s="303"/>
      <c r="M997" s="303"/>
      <c r="N997" s="303"/>
      <c r="O997" s="303"/>
      <c r="P997" s="303"/>
      <c r="Q997" s="25"/>
      <c r="R997" s="25"/>
      <c r="S997" s="25"/>
      <c r="T997" s="25"/>
      <c r="U997" s="25"/>
    </row>
    <row r="998" spans="6:21">
      <c r="F998" s="303"/>
      <c r="G998" s="303"/>
      <c r="J998" s="303"/>
      <c r="K998" s="324"/>
      <c r="L998" s="303"/>
      <c r="M998" s="303"/>
      <c r="N998" s="303"/>
      <c r="O998" s="303"/>
      <c r="P998" s="303"/>
      <c r="Q998" s="25"/>
      <c r="R998" s="25"/>
      <c r="S998" s="25"/>
      <c r="T998" s="25"/>
      <c r="U998" s="25"/>
    </row>
    <row r="999" spans="6:21">
      <c r="F999" s="303"/>
      <c r="G999" s="303"/>
      <c r="J999" s="303"/>
      <c r="K999" s="324"/>
      <c r="L999" s="303"/>
      <c r="M999" s="303"/>
      <c r="N999" s="303"/>
      <c r="O999" s="303"/>
      <c r="P999" s="303"/>
      <c r="Q999" s="25"/>
      <c r="R999" s="25"/>
      <c r="S999" s="25"/>
      <c r="T999" s="25"/>
      <c r="U999" s="25"/>
    </row>
    <row r="1000" spans="6:21">
      <c r="F1000" s="303"/>
      <c r="G1000" s="303"/>
      <c r="J1000" s="303"/>
      <c r="K1000" s="324"/>
      <c r="L1000" s="303"/>
      <c r="M1000" s="303"/>
      <c r="N1000" s="303"/>
      <c r="O1000" s="303"/>
      <c r="P1000" s="303"/>
      <c r="Q1000" s="25"/>
      <c r="R1000" s="25"/>
      <c r="S1000" s="25"/>
      <c r="T1000" s="25"/>
      <c r="U1000" s="25"/>
    </row>
    <row r="1001" spans="6:21">
      <c r="F1001" s="303"/>
      <c r="G1001" s="303"/>
      <c r="J1001" s="303"/>
      <c r="K1001" s="324"/>
      <c r="L1001" s="303"/>
      <c r="M1001" s="303"/>
      <c r="N1001" s="303"/>
      <c r="O1001" s="303"/>
      <c r="P1001" s="303"/>
      <c r="Q1001" s="25"/>
      <c r="R1001" s="25"/>
      <c r="S1001" s="25"/>
      <c r="T1001" s="25"/>
      <c r="U1001" s="25"/>
    </row>
    <row r="1002" spans="6:21">
      <c r="F1002" s="303"/>
      <c r="G1002" s="303"/>
      <c r="J1002" s="303"/>
      <c r="K1002" s="324"/>
      <c r="L1002" s="303"/>
      <c r="M1002" s="303"/>
      <c r="N1002" s="303"/>
      <c r="O1002" s="303"/>
      <c r="P1002" s="303"/>
      <c r="Q1002" s="25"/>
      <c r="R1002" s="25"/>
      <c r="S1002" s="25"/>
      <c r="T1002" s="25"/>
      <c r="U1002" s="25"/>
    </row>
    <row r="1003" spans="6:21">
      <c r="F1003" s="303"/>
      <c r="G1003" s="303"/>
      <c r="J1003" s="303"/>
      <c r="K1003" s="324"/>
      <c r="L1003" s="303"/>
      <c r="M1003" s="303"/>
      <c r="N1003" s="303"/>
      <c r="O1003" s="303"/>
      <c r="P1003" s="303"/>
      <c r="Q1003" s="25"/>
      <c r="R1003" s="25"/>
      <c r="S1003" s="25"/>
      <c r="T1003" s="25"/>
      <c r="U1003" s="25"/>
    </row>
    <row r="1004" spans="6:21">
      <c r="F1004" s="303"/>
      <c r="G1004" s="303"/>
      <c r="J1004" s="303"/>
      <c r="K1004" s="324"/>
      <c r="L1004" s="303"/>
      <c r="M1004" s="303"/>
      <c r="N1004" s="303"/>
      <c r="O1004" s="303"/>
      <c r="P1004" s="303"/>
      <c r="Q1004" s="25"/>
      <c r="R1004" s="25"/>
      <c r="S1004" s="25"/>
      <c r="T1004" s="25"/>
      <c r="U1004" s="25"/>
    </row>
    <row r="1005" spans="6:21">
      <c r="F1005" s="303"/>
      <c r="G1005" s="303"/>
      <c r="J1005" s="303"/>
      <c r="K1005" s="324"/>
      <c r="L1005" s="303"/>
      <c r="M1005" s="303"/>
      <c r="N1005" s="303"/>
      <c r="O1005" s="303"/>
      <c r="P1005" s="303"/>
      <c r="Q1005" s="25"/>
      <c r="R1005" s="25"/>
      <c r="S1005" s="25"/>
      <c r="T1005" s="25"/>
      <c r="U1005" s="25"/>
    </row>
    <row r="1006" spans="6:21">
      <c r="F1006" s="303"/>
      <c r="G1006" s="303"/>
      <c r="J1006" s="303"/>
      <c r="K1006" s="324"/>
      <c r="L1006" s="303"/>
      <c r="M1006" s="303"/>
      <c r="N1006" s="303"/>
      <c r="O1006" s="303"/>
      <c r="P1006" s="303"/>
      <c r="Q1006" s="25"/>
      <c r="R1006" s="25"/>
      <c r="S1006" s="25"/>
      <c r="T1006" s="25"/>
      <c r="U1006" s="25"/>
    </row>
    <row r="1007" spans="6:21">
      <c r="F1007" s="303"/>
      <c r="G1007" s="303"/>
      <c r="J1007" s="303"/>
      <c r="K1007" s="324"/>
      <c r="L1007" s="303"/>
      <c r="M1007" s="303"/>
      <c r="N1007" s="303"/>
      <c r="O1007" s="303"/>
      <c r="P1007" s="303"/>
      <c r="Q1007" s="25"/>
      <c r="R1007" s="25"/>
      <c r="S1007" s="25"/>
      <c r="T1007" s="25"/>
      <c r="U1007" s="25"/>
    </row>
    <row r="1008" spans="6:21">
      <c r="F1008" s="303"/>
      <c r="G1008" s="303"/>
      <c r="J1008" s="303"/>
      <c r="K1008" s="324"/>
      <c r="L1008" s="303"/>
      <c r="M1008" s="303"/>
      <c r="N1008" s="303"/>
      <c r="O1008" s="303"/>
      <c r="P1008" s="303"/>
      <c r="Q1008" s="25"/>
      <c r="R1008" s="25"/>
      <c r="S1008" s="25"/>
      <c r="T1008" s="25"/>
      <c r="U1008" s="25"/>
    </row>
    <row r="1009" spans="6:21">
      <c r="F1009" s="303"/>
      <c r="G1009" s="303"/>
      <c r="J1009" s="303"/>
      <c r="K1009" s="324"/>
      <c r="L1009" s="303"/>
      <c r="M1009" s="303"/>
      <c r="N1009" s="303"/>
      <c r="O1009" s="303"/>
      <c r="P1009" s="303"/>
      <c r="Q1009" s="25"/>
      <c r="R1009" s="25"/>
      <c r="S1009" s="25"/>
      <c r="T1009" s="25"/>
      <c r="U1009" s="25"/>
    </row>
    <row r="1010" spans="6:21">
      <c r="F1010" s="303"/>
      <c r="G1010" s="303"/>
      <c r="J1010" s="303"/>
      <c r="K1010" s="324"/>
      <c r="L1010" s="303"/>
      <c r="M1010" s="303"/>
      <c r="N1010" s="303"/>
      <c r="O1010" s="303"/>
      <c r="P1010" s="303"/>
      <c r="Q1010" s="25"/>
      <c r="R1010" s="25"/>
      <c r="S1010" s="25"/>
      <c r="T1010" s="25"/>
      <c r="U1010" s="25"/>
    </row>
    <row r="1011" spans="6:21">
      <c r="F1011" s="303"/>
      <c r="G1011" s="303"/>
      <c r="J1011" s="303"/>
      <c r="K1011" s="324"/>
      <c r="L1011" s="303"/>
      <c r="M1011" s="303"/>
      <c r="N1011" s="303"/>
      <c r="O1011" s="303"/>
      <c r="P1011" s="303"/>
      <c r="Q1011" s="25"/>
      <c r="R1011" s="25"/>
      <c r="S1011" s="25"/>
      <c r="T1011" s="25"/>
      <c r="U1011" s="25"/>
    </row>
    <row r="1012" spans="6:21">
      <c r="F1012" s="303"/>
      <c r="G1012" s="303"/>
      <c r="J1012" s="303"/>
      <c r="K1012" s="324"/>
      <c r="L1012" s="303"/>
      <c r="M1012" s="303"/>
      <c r="N1012" s="303"/>
      <c r="O1012" s="303"/>
      <c r="P1012" s="303"/>
      <c r="Q1012" s="25"/>
      <c r="R1012" s="25"/>
      <c r="S1012" s="25"/>
      <c r="T1012" s="25"/>
      <c r="U1012" s="25"/>
    </row>
    <row r="1013" spans="6:21">
      <c r="F1013" s="303"/>
      <c r="G1013" s="303"/>
      <c r="J1013" s="303"/>
      <c r="K1013" s="324"/>
      <c r="L1013" s="303"/>
      <c r="M1013" s="303"/>
      <c r="N1013" s="303"/>
      <c r="O1013" s="303"/>
      <c r="P1013" s="303"/>
      <c r="Q1013" s="25"/>
      <c r="R1013" s="25"/>
      <c r="S1013" s="25"/>
      <c r="T1013" s="25"/>
      <c r="U1013" s="25"/>
    </row>
    <row r="1014" spans="6:21">
      <c r="F1014" s="303"/>
      <c r="G1014" s="303"/>
      <c r="J1014" s="303"/>
      <c r="K1014" s="324"/>
      <c r="L1014" s="303"/>
      <c r="M1014" s="303"/>
      <c r="N1014" s="303"/>
      <c r="O1014" s="303"/>
      <c r="P1014" s="303"/>
      <c r="Q1014" s="25"/>
      <c r="R1014" s="25"/>
      <c r="S1014" s="25"/>
      <c r="T1014" s="25"/>
      <c r="U1014" s="25"/>
    </row>
    <row r="1015" spans="6:21">
      <c r="F1015" s="303"/>
      <c r="G1015" s="303"/>
      <c r="J1015" s="303"/>
      <c r="K1015" s="324"/>
      <c r="L1015" s="303"/>
      <c r="M1015" s="303"/>
      <c r="N1015" s="303"/>
      <c r="O1015" s="303"/>
      <c r="P1015" s="303"/>
      <c r="Q1015" s="25"/>
      <c r="R1015" s="25"/>
      <c r="S1015" s="25"/>
      <c r="T1015" s="25"/>
      <c r="U1015" s="25"/>
    </row>
    <row r="1016" spans="6:21">
      <c r="F1016" s="303"/>
      <c r="G1016" s="303"/>
      <c r="J1016" s="303"/>
      <c r="K1016" s="324"/>
      <c r="L1016" s="303"/>
      <c r="M1016" s="303"/>
      <c r="N1016" s="303"/>
      <c r="O1016" s="303"/>
      <c r="P1016" s="303"/>
      <c r="Q1016" s="25"/>
      <c r="R1016" s="25"/>
      <c r="S1016" s="25"/>
      <c r="T1016" s="25"/>
      <c r="U1016" s="25"/>
    </row>
    <row r="1017" spans="6:21">
      <c r="F1017" s="303"/>
      <c r="G1017" s="303"/>
      <c r="J1017" s="303"/>
      <c r="K1017" s="324"/>
      <c r="L1017" s="303"/>
      <c r="M1017" s="303"/>
      <c r="N1017" s="303"/>
      <c r="O1017" s="303"/>
      <c r="P1017" s="303"/>
      <c r="Q1017" s="25"/>
      <c r="R1017" s="25"/>
      <c r="S1017" s="25"/>
      <c r="T1017" s="25"/>
      <c r="U1017" s="25"/>
    </row>
    <row r="1018" spans="6:21">
      <c r="F1018" s="303"/>
      <c r="G1018" s="303"/>
      <c r="J1018" s="303"/>
      <c r="K1018" s="324"/>
      <c r="L1018" s="303"/>
      <c r="M1018" s="303"/>
      <c r="N1018" s="303"/>
      <c r="O1018" s="303"/>
      <c r="P1018" s="303"/>
      <c r="Q1018" s="25"/>
      <c r="R1018" s="25"/>
      <c r="S1018" s="25"/>
      <c r="T1018" s="25"/>
      <c r="U1018" s="25"/>
    </row>
    <row r="1019" spans="6:21">
      <c r="F1019" s="303"/>
      <c r="G1019" s="303"/>
      <c r="J1019" s="303"/>
      <c r="K1019" s="324"/>
      <c r="L1019" s="303"/>
      <c r="M1019" s="303"/>
      <c r="N1019" s="303"/>
      <c r="O1019" s="303"/>
      <c r="P1019" s="303"/>
      <c r="Q1019" s="25"/>
      <c r="R1019" s="25"/>
      <c r="S1019" s="25"/>
      <c r="T1019" s="25"/>
      <c r="U1019" s="25"/>
    </row>
    <row r="1020" spans="6:21">
      <c r="F1020" s="303"/>
      <c r="G1020" s="303"/>
      <c r="J1020" s="303"/>
      <c r="K1020" s="324"/>
      <c r="L1020" s="303"/>
      <c r="M1020" s="303"/>
      <c r="N1020" s="303"/>
      <c r="O1020" s="303"/>
      <c r="P1020" s="303"/>
      <c r="Q1020" s="25"/>
      <c r="R1020" s="25"/>
      <c r="S1020" s="25"/>
      <c r="T1020" s="25"/>
      <c r="U1020" s="25"/>
    </row>
    <row r="1021" spans="6:21">
      <c r="F1021" s="303"/>
      <c r="G1021" s="303"/>
      <c r="J1021" s="303"/>
      <c r="K1021" s="324"/>
      <c r="L1021" s="303"/>
      <c r="M1021" s="303"/>
      <c r="N1021" s="303"/>
      <c r="O1021" s="303"/>
      <c r="P1021" s="303"/>
      <c r="Q1021" s="25"/>
      <c r="R1021" s="25"/>
      <c r="S1021" s="25"/>
      <c r="T1021" s="25"/>
      <c r="U1021" s="25"/>
    </row>
    <row r="1022" spans="6:21">
      <c r="F1022" s="303"/>
      <c r="G1022" s="303"/>
      <c r="J1022" s="303"/>
      <c r="K1022" s="324"/>
      <c r="L1022" s="303"/>
      <c r="M1022" s="303"/>
      <c r="N1022" s="303"/>
      <c r="O1022" s="303"/>
      <c r="P1022" s="303"/>
      <c r="Q1022" s="25"/>
      <c r="R1022" s="25"/>
      <c r="S1022" s="25"/>
      <c r="T1022" s="25"/>
      <c r="U1022" s="25"/>
    </row>
    <row r="1023" spans="6:21">
      <c r="F1023" s="303"/>
      <c r="G1023" s="303"/>
      <c r="J1023" s="303"/>
      <c r="K1023" s="324"/>
      <c r="L1023" s="303"/>
      <c r="M1023" s="303"/>
      <c r="N1023" s="303"/>
      <c r="O1023" s="303"/>
      <c r="P1023" s="303"/>
      <c r="Q1023" s="25"/>
      <c r="R1023" s="25"/>
      <c r="S1023" s="25"/>
      <c r="T1023" s="25"/>
      <c r="U1023" s="25"/>
    </row>
    <row r="1024" spans="6:21">
      <c r="F1024" s="303"/>
      <c r="G1024" s="303"/>
      <c r="J1024" s="303"/>
      <c r="K1024" s="324"/>
      <c r="L1024" s="303"/>
      <c r="M1024" s="303"/>
      <c r="N1024" s="303"/>
      <c r="O1024" s="303"/>
      <c r="P1024" s="303"/>
      <c r="Q1024" s="25"/>
      <c r="R1024" s="25"/>
      <c r="S1024" s="25"/>
      <c r="T1024" s="25"/>
      <c r="U1024" s="25"/>
    </row>
    <row r="1025" spans="6:21">
      <c r="F1025" s="303"/>
      <c r="G1025" s="303"/>
      <c r="J1025" s="303"/>
      <c r="K1025" s="324"/>
      <c r="L1025" s="303"/>
      <c r="M1025" s="303"/>
      <c r="N1025" s="303"/>
      <c r="O1025" s="303"/>
      <c r="P1025" s="303"/>
      <c r="Q1025" s="25"/>
      <c r="R1025" s="25"/>
      <c r="S1025" s="25"/>
      <c r="T1025" s="25"/>
      <c r="U1025" s="25"/>
    </row>
    <row r="1026" spans="6:21">
      <c r="F1026" s="303"/>
      <c r="G1026" s="303"/>
      <c r="J1026" s="303"/>
      <c r="K1026" s="324"/>
      <c r="L1026" s="303"/>
      <c r="M1026" s="303"/>
      <c r="N1026" s="303"/>
      <c r="O1026" s="303"/>
      <c r="P1026" s="303"/>
      <c r="Q1026" s="25"/>
      <c r="R1026" s="25"/>
      <c r="S1026" s="25"/>
      <c r="T1026" s="25"/>
      <c r="U1026" s="25"/>
    </row>
    <row r="1027" spans="6:21">
      <c r="F1027" s="303"/>
      <c r="G1027" s="303"/>
      <c r="J1027" s="303"/>
      <c r="K1027" s="324"/>
      <c r="L1027" s="303"/>
      <c r="M1027" s="303"/>
      <c r="N1027" s="303"/>
      <c r="O1027" s="303"/>
      <c r="P1027" s="303"/>
      <c r="Q1027" s="25"/>
      <c r="R1027" s="25"/>
      <c r="S1027" s="25"/>
      <c r="T1027" s="25"/>
      <c r="U1027" s="25"/>
    </row>
    <row r="1028" spans="6:21">
      <c r="F1028" s="303"/>
      <c r="G1028" s="303"/>
      <c r="J1028" s="303"/>
      <c r="K1028" s="324"/>
      <c r="L1028" s="303"/>
      <c r="M1028" s="303"/>
      <c r="N1028" s="303"/>
      <c r="O1028" s="303"/>
      <c r="P1028" s="303"/>
      <c r="Q1028" s="25"/>
      <c r="R1028" s="25"/>
      <c r="S1028" s="25"/>
      <c r="T1028" s="25"/>
      <c r="U1028" s="25"/>
    </row>
    <row r="1029" spans="6:21">
      <c r="F1029" s="303"/>
      <c r="G1029" s="303"/>
      <c r="J1029" s="303"/>
      <c r="K1029" s="324"/>
      <c r="L1029" s="303"/>
      <c r="M1029" s="303"/>
      <c r="N1029" s="303"/>
      <c r="O1029" s="303"/>
      <c r="P1029" s="303"/>
      <c r="Q1029" s="25"/>
      <c r="R1029" s="25"/>
      <c r="S1029" s="25"/>
      <c r="T1029" s="25"/>
      <c r="U1029" s="25"/>
    </row>
    <row r="1030" spans="6:21">
      <c r="F1030" s="303"/>
      <c r="G1030" s="303"/>
      <c r="J1030" s="303"/>
      <c r="K1030" s="324"/>
      <c r="L1030" s="303"/>
      <c r="M1030" s="303"/>
      <c r="N1030" s="303"/>
      <c r="O1030" s="303"/>
      <c r="P1030" s="303"/>
      <c r="Q1030" s="25"/>
      <c r="R1030" s="25"/>
      <c r="S1030" s="25"/>
      <c r="T1030" s="25"/>
      <c r="U1030" s="25"/>
    </row>
    <row r="1031" spans="6:21">
      <c r="F1031" s="303"/>
      <c r="G1031" s="303"/>
      <c r="J1031" s="303"/>
      <c r="K1031" s="324"/>
      <c r="L1031" s="303"/>
      <c r="M1031" s="303"/>
      <c r="N1031" s="303"/>
      <c r="O1031" s="303"/>
      <c r="P1031" s="303"/>
      <c r="Q1031" s="25"/>
      <c r="R1031" s="25"/>
      <c r="S1031" s="25"/>
      <c r="T1031" s="25"/>
      <c r="U1031" s="25"/>
    </row>
    <row r="1032" spans="6:21">
      <c r="F1032" s="303"/>
      <c r="G1032" s="303"/>
      <c r="J1032" s="303"/>
      <c r="K1032" s="324"/>
      <c r="L1032" s="303"/>
      <c r="M1032" s="303"/>
      <c r="N1032" s="303"/>
      <c r="O1032" s="303"/>
      <c r="P1032" s="303"/>
      <c r="Q1032" s="25"/>
      <c r="R1032" s="25"/>
      <c r="S1032" s="25"/>
      <c r="T1032" s="25"/>
      <c r="U1032" s="25"/>
    </row>
    <row r="1033" spans="6:21">
      <c r="F1033" s="303"/>
      <c r="G1033" s="303"/>
      <c r="J1033" s="303"/>
      <c r="K1033" s="324"/>
      <c r="L1033" s="303"/>
      <c r="M1033" s="303"/>
      <c r="N1033" s="303"/>
      <c r="O1033" s="303"/>
      <c r="P1033" s="303"/>
      <c r="Q1033" s="25"/>
      <c r="R1033" s="25"/>
      <c r="S1033" s="25"/>
      <c r="T1033" s="25"/>
      <c r="U1033" s="25"/>
    </row>
    <row r="1034" spans="6:21">
      <c r="F1034" s="303"/>
      <c r="G1034" s="303"/>
      <c r="J1034" s="303"/>
      <c r="K1034" s="324"/>
      <c r="L1034" s="303"/>
      <c r="M1034" s="303"/>
      <c r="N1034" s="303"/>
      <c r="O1034" s="303"/>
      <c r="P1034" s="303"/>
      <c r="Q1034" s="25"/>
      <c r="R1034" s="25"/>
      <c r="S1034" s="25"/>
      <c r="T1034" s="25"/>
      <c r="U1034" s="25"/>
    </row>
    <row r="1035" spans="6:21">
      <c r="F1035" s="303"/>
      <c r="G1035" s="303"/>
      <c r="J1035" s="303"/>
      <c r="K1035" s="324"/>
      <c r="L1035" s="303"/>
      <c r="M1035" s="303"/>
      <c r="N1035" s="303"/>
      <c r="O1035" s="303"/>
      <c r="P1035" s="303"/>
      <c r="Q1035" s="25"/>
      <c r="R1035" s="25"/>
      <c r="S1035" s="25"/>
      <c r="T1035" s="25"/>
      <c r="U1035" s="25"/>
    </row>
    <row r="1036" spans="6:21">
      <c r="F1036" s="303"/>
      <c r="G1036" s="303"/>
      <c r="J1036" s="303"/>
      <c r="K1036" s="324"/>
      <c r="L1036" s="303"/>
      <c r="M1036" s="303"/>
      <c r="N1036" s="303"/>
      <c r="O1036" s="303"/>
      <c r="P1036" s="303"/>
      <c r="Q1036" s="25"/>
      <c r="R1036" s="25"/>
      <c r="S1036" s="25"/>
      <c r="T1036" s="25"/>
      <c r="U1036" s="25"/>
    </row>
    <row r="1037" spans="6:21">
      <c r="F1037" s="303"/>
      <c r="G1037" s="303"/>
      <c r="J1037" s="303"/>
      <c r="K1037" s="324"/>
      <c r="L1037" s="303"/>
      <c r="M1037" s="303"/>
      <c r="N1037" s="303"/>
      <c r="O1037" s="303"/>
      <c r="P1037" s="303"/>
      <c r="Q1037" s="25"/>
      <c r="R1037" s="25"/>
      <c r="S1037" s="25"/>
      <c r="T1037" s="25"/>
      <c r="U1037" s="25"/>
    </row>
    <row r="1038" spans="6:21">
      <c r="F1038" s="303"/>
      <c r="G1038" s="303"/>
      <c r="J1038" s="303"/>
      <c r="K1038" s="324"/>
      <c r="L1038" s="303"/>
      <c r="M1038" s="303"/>
      <c r="N1038" s="303"/>
      <c r="O1038" s="303"/>
      <c r="P1038" s="303"/>
      <c r="Q1038" s="25"/>
      <c r="R1038" s="25"/>
      <c r="S1038" s="25"/>
      <c r="T1038" s="25"/>
      <c r="U1038" s="25"/>
    </row>
    <row r="1039" spans="6:21">
      <c r="F1039" s="303"/>
      <c r="G1039" s="303"/>
      <c r="J1039" s="303"/>
      <c r="K1039" s="324"/>
      <c r="L1039" s="303"/>
      <c r="M1039" s="303"/>
      <c r="N1039" s="303"/>
      <c r="O1039" s="303"/>
      <c r="P1039" s="303"/>
      <c r="Q1039" s="25"/>
      <c r="R1039" s="25"/>
      <c r="S1039" s="25"/>
      <c r="T1039" s="25"/>
      <c r="U1039" s="25"/>
    </row>
    <row r="1040" spans="6:21">
      <c r="F1040" s="303"/>
      <c r="G1040" s="303"/>
      <c r="J1040" s="303"/>
      <c r="K1040" s="324"/>
      <c r="L1040" s="303"/>
      <c r="M1040" s="303"/>
      <c r="N1040" s="303"/>
      <c r="O1040" s="303"/>
      <c r="P1040" s="303"/>
      <c r="Q1040" s="25"/>
      <c r="R1040" s="25"/>
      <c r="S1040" s="25"/>
      <c r="T1040" s="25"/>
      <c r="U1040" s="25"/>
    </row>
    <row r="1041" spans="6:21">
      <c r="F1041" s="303"/>
      <c r="G1041" s="303"/>
      <c r="J1041" s="303"/>
      <c r="K1041" s="324"/>
      <c r="L1041" s="303"/>
      <c r="M1041" s="303"/>
      <c r="N1041" s="303"/>
      <c r="O1041" s="303"/>
      <c r="P1041" s="303"/>
      <c r="Q1041" s="25"/>
      <c r="R1041" s="25"/>
      <c r="S1041" s="25"/>
      <c r="T1041" s="25"/>
      <c r="U1041" s="25"/>
    </row>
    <row r="1042" spans="6:21">
      <c r="F1042" s="303"/>
      <c r="G1042" s="303"/>
      <c r="J1042" s="303"/>
      <c r="K1042" s="324"/>
      <c r="L1042" s="303"/>
      <c r="M1042" s="303"/>
      <c r="N1042" s="303"/>
      <c r="O1042" s="303"/>
      <c r="P1042" s="303"/>
      <c r="Q1042" s="25"/>
      <c r="R1042" s="25"/>
      <c r="S1042" s="25"/>
      <c r="T1042" s="25"/>
      <c r="U1042" s="25"/>
    </row>
    <row r="1043" spans="6:21">
      <c r="F1043" s="303"/>
      <c r="G1043" s="303"/>
      <c r="J1043" s="303"/>
      <c r="K1043" s="324"/>
      <c r="L1043" s="303"/>
      <c r="M1043" s="303"/>
      <c r="N1043" s="303"/>
      <c r="O1043" s="303"/>
      <c r="P1043" s="303"/>
      <c r="Q1043" s="25"/>
      <c r="R1043" s="25"/>
      <c r="S1043" s="25"/>
      <c r="T1043" s="25"/>
      <c r="U1043" s="25"/>
    </row>
    <row r="1044" spans="6:21">
      <c r="F1044" s="303"/>
      <c r="G1044" s="303"/>
      <c r="J1044" s="303"/>
      <c r="K1044" s="324"/>
      <c r="L1044" s="303"/>
      <c r="M1044" s="303"/>
      <c r="N1044" s="303"/>
      <c r="O1044" s="303"/>
      <c r="P1044" s="303"/>
      <c r="Q1044" s="25"/>
      <c r="R1044" s="25"/>
      <c r="S1044" s="25"/>
      <c r="T1044" s="25"/>
      <c r="U1044" s="25"/>
    </row>
    <row r="1045" spans="6:21">
      <c r="F1045" s="303"/>
      <c r="G1045" s="303"/>
      <c r="J1045" s="303"/>
      <c r="K1045" s="324"/>
      <c r="L1045" s="303"/>
      <c r="M1045" s="303"/>
      <c r="N1045" s="303"/>
      <c r="O1045" s="303"/>
      <c r="P1045" s="303"/>
      <c r="Q1045" s="25"/>
      <c r="R1045" s="25"/>
      <c r="S1045" s="25"/>
      <c r="T1045" s="25"/>
      <c r="U1045" s="25"/>
    </row>
    <row r="1046" spans="6:21">
      <c r="F1046" s="303"/>
      <c r="G1046" s="303"/>
      <c r="J1046" s="303"/>
      <c r="K1046" s="324"/>
      <c r="L1046" s="303"/>
      <c r="M1046" s="303"/>
      <c r="N1046" s="303"/>
      <c r="O1046" s="303"/>
      <c r="P1046" s="303"/>
      <c r="Q1046" s="25"/>
      <c r="R1046" s="25"/>
      <c r="S1046" s="25"/>
      <c r="T1046" s="25"/>
      <c r="U1046" s="25"/>
    </row>
    <row r="1047" spans="6:21">
      <c r="F1047" s="303"/>
      <c r="G1047" s="303"/>
      <c r="J1047" s="303"/>
      <c r="K1047" s="324"/>
      <c r="L1047" s="303"/>
      <c r="M1047" s="303"/>
      <c r="N1047" s="303"/>
      <c r="O1047" s="303"/>
      <c r="P1047" s="303"/>
      <c r="Q1047" s="25"/>
      <c r="R1047" s="25"/>
      <c r="S1047" s="25"/>
      <c r="T1047" s="25"/>
      <c r="U1047" s="25"/>
    </row>
    <row r="1048" spans="6:21">
      <c r="F1048" s="303"/>
      <c r="G1048" s="303"/>
      <c r="J1048" s="303"/>
      <c r="K1048" s="324"/>
      <c r="L1048" s="303"/>
      <c r="M1048" s="303"/>
      <c r="N1048" s="303"/>
      <c r="O1048" s="303"/>
      <c r="P1048" s="303"/>
      <c r="Q1048" s="25"/>
      <c r="R1048" s="25"/>
      <c r="S1048" s="25"/>
      <c r="T1048" s="25"/>
      <c r="U1048" s="25"/>
    </row>
    <row r="1049" spans="6:21">
      <c r="F1049" s="303"/>
      <c r="G1049" s="303"/>
      <c r="J1049" s="303"/>
      <c r="K1049" s="324"/>
      <c r="L1049" s="303"/>
      <c r="M1049" s="303"/>
      <c r="N1049" s="303"/>
      <c r="O1049" s="303"/>
      <c r="P1049" s="303"/>
      <c r="Q1049" s="25"/>
      <c r="R1049" s="25"/>
      <c r="S1049" s="25"/>
      <c r="T1049" s="25"/>
      <c r="U1049" s="25"/>
    </row>
    <row r="1050" spans="6:21">
      <c r="F1050" s="303"/>
      <c r="G1050" s="303"/>
      <c r="J1050" s="303"/>
      <c r="K1050" s="324"/>
      <c r="L1050" s="303"/>
      <c r="M1050" s="303"/>
      <c r="N1050" s="303"/>
      <c r="O1050" s="303"/>
      <c r="P1050" s="303"/>
      <c r="Q1050" s="25"/>
      <c r="R1050" s="25"/>
      <c r="S1050" s="25"/>
      <c r="T1050" s="25"/>
      <c r="U1050" s="25"/>
    </row>
    <row r="1051" spans="6:21">
      <c r="F1051" s="303"/>
      <c r="G1051" s="303"/>
      <c r="J1051" s="303"/>
      <c r="K1051" s="324"/>
      <c r="L1051" s="303"/>
      <c r="M1051" s="303"/>
      <c r="N1051" s="303"/>
      <c r="O1051" s="303"/>
      <c r="P1051" s="303"/>
      <c r="Q1051" s="25"/>
      <c r="R1051" s="25"/>
      <c r="S1051" s="25"/>
      <c r="T1051" s="25"/>
      <c r="U1051" s="25"/>
    </row>
    <row r="1052" spans="6:21">
      <c r="F1052" s="303"/>
      <c r="G1052" s="303"/>
      <c r="J1052" s="303"/>
      <c r="K1052" s="324"/>
      <c r="L1052" s="303"/>
      <c r="M1052" s="303"/>
      <c r="N1052" s="303"/>
      <c r="O1052" s="303"/>
      <c r="P1052" s="303"/>
      <c r="Q1052" s="25"/>
      <c r="R1052" s="25"/>
      <c r="S1052" s="25"/>
      <c r="T1052" s="25"/>
      <c r="U1052" s="25"/>
    </row>
    <row r="1053" spans="6:21">
      <c r="F1053" s="303"/>
      <c r="G1053" s="303"/>
      <c r="J1053" s="303"/>
      <c r="K1053" s="324"/>
      <c r="L1053" s="303"/>
      <c r="M1053" s="303"/>
      <c r="N1053" s="303"/>
      <c r="O1053" s="303"/>
      <c r="P1053" s="303"/>
      <c r="Q1053" s="25"/>
      <c r="R1053" s="25"/>
      <c r="S1053" s="25"/>
      <c r="T1053" s="25"/>
      <c r="U1053" s="25"/>
    </row>
    <row r="1054" spans="6:21">
      <c r="F1054" s="303"/>
      <c r="G1054" s="303"/>
      <c r="J1054" s="303"/>
      <c r="K1054" s="324"/>
      <c r="L1054" s="303"/>
      <c r="M1054" s="303"/>
      <c r="N1054" s="303"/>
      <c r="O1054" s="303"/>
      <c r="P1054" s="303"/>
      <c r="Q1054" s="25"/>
      <c r="R1054" s="25"/>
      <c r="S1054" s="25"/>
      <c r="T1054" s="25"/>
      <c r="U1054" s="25"/>
    </row>
    <row r="1055" spans="6:21">
      <c r="F1055" s="303"/>
      <c r="G1055" s="303"/>
      <c r="J1055" s="303"/>
      <c r="K1055" s="324"/>
      <c r="L1055" s="303"/>
      <c r="M1055" s="303"/>
      <c r="N1055" s="303"/>
      <c r="O1055" s="303"/>
      <c r="P1055" s="303"/>
      <c r="Q1055" s="25"/>
      <c r="R1055" s="25"/>
      <c r="S1055" s="25"/>
      <c r="T1055" s="25"/>
      <c r="U1055" s="25"/>
    </row>
    <row r="1056" spans="6:21">
      <c r="F1056" s="303"/>
      <c r="G1056" s="303"/>
      <c r="J1056" s="303"/>
      <c r="K1056" s="324"/>
      <c r="L1056" s="303"/>
      <c r="M1056" s="303"/>
      <c r="N1056" s="303"/>
      <c r="O1056" s="303"/>
      <c r="P1056" s="303"/>
      <c r="Q1056" s="25"/>
      <c r="R1056" s="25"/>
      <c r="S1056" s="25"/>
      <c r="T1056" s="25"/>
      <c r="U1056" s="25"/>
    </row>
    <row r="1057" spans="6:21">
      <c r="F1057" s="303"/>
      <c r="G1057" s="303"/>
      <c r="J1057" s="303"/>
      <c r="K1057" s="324"/>
      <c r="L1057" s="303"/>
      <c r="M1057" s="303"/>
      <c r="N1057" s="303"/>
      <c r="O1057" s="303"/>
      <c r="P1057" s="303"/>
      <c r="Q1057" s="25"/>
      <c r="R1057" s="25"/>
      <c r="S1057" s="25"/>
      <c r="T1057" s="25"/>
      <c r="U1057" s="25"/>
    </row>
    <row r="1058" spans="6:21">
      <c r="F1058" s="303"/>
      <c r="G1058" s="303"/>
      <c r="J1058" s="303"/>
      <c r="K1058" s="324"/>
      <c r="L1058" s="303"/>
      <c r="M1058" s="303"/>
      <c r="N1058" s="303"/>
      <c r="O1058" s="303"/>
      <c r="P1058" s="303"/>
      <c r="Q1058" s="25"/>
      <c r="R1058" s="25"/>
      <c r="S1058" s="25"/>
      <c r="T1058" s="25"/>
      <c r="U1058" s="25"/>
    </row>
    <row r="1059" spans="6:21">
      <c r="F1059" s="303"/>
      <c r="G1059" s="303"/>
      <c r="J1059" s="303"/>
      <c r="K1059" s="324"/>
      <c r="L1059" s="303"/>
      <c r="M1059" s="303"/>
      <c r="N1059" s="303"/>
      <c r="O1059" s="303"/>
      <c r="P1059" s="303"/>
      <c r="Q1059" s="25"/>
      <c r="R1059" s="25"/>
      <c r="S1059" s="25"/>
      <c r="T1059" s="25"/>
      <c r="U1059" s="25"/>
    </row>
    <row r="1060" spans="6:21">
      <c r="F1060" s="303"/>
      <c r="G1060" s="303"/>
      <c r="J1060" s="303"/>
      <c r="K1060" s="324"/>
      <c r="L1060" s="303"/>
      <c r="M1060" s="303"/>
      <c r="N1060" s="303"/>
      <c r="O1060" s="303"/>
      <c r="P1060" s="303"/>
      <c r="Q1060" s="25"/>
      <c r="R1060" s="25"/>
      <c r="S1060" s="25"/>
      <c r="T1060" s="25"/>
      <c r="U1060" s="25"/>
    </row>
    <row r="1061" spans="6:21">
      <c r="F1061" s="303"/>
      <c r="G1061" s="303"/>
      <c r="J1061" s="303"/>
      <c r="K1061" s="324"/>
      <c r="L1061" s="303"/>
      <c r="M1061" s="303"/>
      <c r="N1061" s="303"/>
      <c r="O1061" s="303"/>
      <c r="P1061" s="303"/>
      <c r="Q1061" s="25"/>
      <c r="R1061" s="25"/>
      <c r="S1061" s="25"/>
      <c r="T1061" s="25"/>
      <c r="U1061" s="25"/>
    </row>
    <row r="1062" spans="6:21">
      <c r="F1062" s="303"/>
      <c r="G1062" s="303"/>
      <c r="J1062" s="303"/>
      <c r="K1062" s="324"/>
      <c r="L1062" s="303"/>
      <c r="M1062" s="303"/>
      <c r="N1062" s="303"/>
      <c r="O1062" s="303"/>
      <c r="P1062" s="303"/>
      <c r="Q1062" s="25"/>
      <c r="R1062" s="25"/>
      <c r="S1062" s="25"/>
      <c r="T1062" s="25"/>
      <c r="U1062" s="25"/>
    </row>
    <row r="1063" spans="6:21">
      <c r="F1063" s="303"/>
      <c r="G1063" s="303"/>
      <c r="J1063" s="303"/>
      <c r="K1063" s="324"/>
      <c r="L1063" s="303"/>
      <c r="M1063" s="303"/>
      <c r="N1063" s="303"/>
      <c r="O1063" s="303"/>
      <c r="P1063" s="303"/>
      <c r="Q1063" s="25"/>
      <c r="R1063" s="25"/>
      <c r="S1063" s="25"/>
      <c r="T1063" s="25"/>
      <c r="U1063" s="25"/>
    </row>
    <row r="1064" spans="6:21">
      <c r="F1064" s="303"/>
      <c r="G1064" s="303"/>
      <c r="J1064" s="303"/>
      <c r="K1064" s="324"/>
      <c r="L1064" s="303"/>
      <c r="M1064" s="303"/>
      <c r="N1064" s="303"/>
      <c r="O1064" s="303"/>
      <c r="P1064" s="303"/>
      <c r="Q1064" s="25"/>
      <c r="R1064" s="25"/>
      <c r="S1064" s="25"/>
      <c r="T1064" s="25"/>
      <c r="U1064" s="25"/>
    </row>
    <row r="1065" spans="6:21">
      <c r="F1065" s="303"/>
      <c r="G1065" s="303"/>
      <c r="J1065" s="303"/>
      <c r="K1065" s="324"/>
      <c r="L1065" s="303"/>
      <c r="M1065" s="303"/>
      <c r="N1065" s="303"/>
      <c r="O1065" s="303"/>
      <c r="P1065" s="303"/>
      <c r="Q1065" s="25"/>
      <c r="R1065" s="25"/>
      <c r="S1065" s="25"/>
      <c r="T1065" s="25"/>
      <c r="U1065" s="25"/>
    </row>
    <row r="1066" spans="6:21">
      <c r="F1066" s="303"/>
      <c r="G1066" s="303"/>
      <c r="J1066" s="303"/>
      <c r="K1066" s="324"/>
      <c r="L1066" s="303"/>
      <c r="M1066" s="303"/>
      <c r="N1066" s="303"/>
      <c r="O1066" s="303"/>
      <c r="P1066" s="303"/>
      <c r="Q1066" s="25"/>
      <c r="R1066" s="25"/>
      <c r="S1066" s="25"/>
      <c r="T1066" s="25"/>
      <c r="U1066" s="25"/>
    </row>
    <row r="1067" spans="6:21">
      <c r="F1067" s="303"/>
      <c r="G1067" s="303"/>
      <c r="J1067" s="303"/>
      <c r="K1067" s="324"/>
      <c r="L1067" s="303"/>
      <c r="M1067" s="303"/>
      <c r="N1067" s="303"/>
      <c r="O1067" s="303"/>
      <c r="P1067" s="303"/>
      <c r="Q1067" s="25"/>
      <c r="R1067" s="25"/>
      <c r="S1067" s="25"/>
      <c r="T1067" s="25"/>
      <c r="U1067" s="25"/>
    </row>
    <row r="1068" spans="6:21">
      <c r="F1068" s="303"/>
      <c r="G1068" s="303"/>
      <c r="J1068" s="303"/>
      <c r="K1068" s="324"/>
      <c r="L1068" s="303"/>
      <c r="M1068" s="303"/>
      <c r="N1068" s="303"/>
      <c r="O1068" s="303"/>
      <c r="P1068" s="303"/>
      <c r="Q1068" s="25"/>
      <c r="R1068" s="25"/>
      <c r="S1068" s="25"/>
      <c r="T1068" s="25"/>
      <c r="U1068" s="25"/>
    </row>
    <row r="1069" spans="6:21">
      <c r="F1069" s="303"/>
      <c r="G1069" s="303"/>
      <c r="J1069" s="303"/>
      <c r="K1069" s="324"/>
      <c r="L1069" s="303"/>
      <c r="M1069" s="303"/>
      <c r="N1069" s="303"/>
      <c r="O1069" s="303"/>
      <c r="P1069" s="303"/>
      <c r="Q1069" s="25"/>
      <c r="R1069" s="25"/>
      <c r="S1069" s="25"/>
      <c r="T1069" s="25"/>
      <c r="U1069" s="25"/>
    </row>
    <row r="1070" spans="6:21">
      <c r="F1070" s="303"/>
      <c r="G1070" s="303"/>
      <c r="J1070" s="303"/>
      <c r="K1070" s="324"/>
      <c r="L1070" s="303"/>
      <c r="M1070" s="303"/>
      <c r="N1070" s="303"/>
      <c r="O1070" s="303"/>
      <c r="P1070" s="303"/>
      <c r="Q1070" s="25"/>
      <c r="R1070" s="25"/>
      <c r="S1070" s="25"/>
      <c r="T1070" s="25"/>
      <c r="U1070" s="25"/>
    </row>
    <row r="1071" spans="6:21">
      <c r="F1071" s="303"/>
      <c r="G1071" s="303"/>
      <c r="J1071" s="303"/>
      <c r="K1071" s="324"/>
      <c r="L1071" s="303"/>
      <c r="M1071" s="303"/>
      <c r="N1071" s="303"/>
      <c r="O1071" s="303"/>
      <c r="P1071" s="303"/>
      <c r="Q1071" s="25"/>
      <c r="R1071" s="25"/>
      <c r="S1071" s="25"/>
      <c r="T1071" s="25"/>
      <c r="U1071" s="25"/>
    </row>
    <row r="1072" spans="6:21">
      <c r="F1072" s="303"/>
      <c r="G1072" s="303"/>
      <c r="J1072" s="303"/>
      <c r="K1072" s="324"/>
      <c r="L1072" s="303"/>
      <c r="M1072" s="303"/>
      <c r="N1072" s="303"/>
      <c r="O1072" s="303"/>
      <c r="P1072" s="303"/>
      <c r="Q1072" s="25"/>
      <c r="R1072" s="25"/>
      <c r="S1072" s="25"/>
      <c r="T1072" s="25"/>
      <c r="U1072" s="25"/>
    </row>
    <row r="1073" spans="6:21">
      <c r="F1073" s="303"/>
      <c r="G1073" s="303"/>
      <c r="J1073" s="303"/>
      <c r="K1073" s="324"/>
      <c r="L1073" s="303"/>
      <c r="M1073" s="303"/>
      <c r="N1073" s="303"/>
      <c r="O1073" s="303"/>
      <c r="P1073" s="303"/>
      <c r="Q1073" s="25"/>
      <c r="R1073" s="25"/>
      <c r="S1073" s="25"/>
      <c r="T1073" s="25"/>
      <c r="U1073" s="25"/>
    </row>
    <row r="1074" spans="6:21">
      <c r="F1074" s="303"/>
      <c r="G1074" s="303"/>
      <c r="J1074" s="303"/>
      <c r="K1074" s="324"/>
      <c r="L1074" s="303"/>
      <c r="M1074" s="303"/>
      <c r="N1074" s="303"/>
      <c r="O1074" s="303"/>
      <c r="P1074" s="303"/>
      <c r="Q1074" s="25"/>
      <c r="R1074" s="25"/>
      <c r="S1074" s="25"/>
      <c r="T1074" s="25"/>
      <c r="U1074" s="25"/>
    </row>
    <row r="1075" spans="6:21">
      <c r="F1075" s="303"/>
      <c r="G1075" s="303"/>
      <c r="J1075" s="303"/>
      <c r="K1075" s="324"/>
      <c r="L1075" s="303"/>
      <c r="M1075" s="303"/>
      <c r="N1075" s="303"/>
      <c r="O1075" s="303"/>
      <c r="P1075" s="303"/>
      <c r="Q1075" s="25"/>
      <c r="R1075" s="25"/>
      <c r="S1075" s="25"/>
      <c r="T1075" s="25"/>
      <c r="U1075" s="25"/>
    </row>
    <row r="1076" spans="6:21">
      <c r="F1076" s="303"/>
      <c r="G1076" s="303"/>
      <c r="J1076" s="303"/>
      <c r="K1076" s="324"/>
      <c r="L1076" s="303"/>
      <c r="M1076" s="303"/>
      <c r="N1076" s="303"/>
      <c r="O1076" s="303"/>
      <c r="P1076" s="303"/>
      <c r="Q1076" s="25"/>
      <c r="R1076" s="25"/>
      <c r="S1076" s="25"/>
      <c r="T1076" s="25"/>
      <c r="U1076" s="25"/>
    </row>
    <row r="1077" spans="6:21">
      <c r="F1077" s="303"/>
      <c r="G1077" s="303"/>
      <c r="J1077" s="303"/>
      <c r="K1077" s="324"/>
      <c r="L1077" s="303"/>
      <c r="M1077" s="303"/>
      <c r="N1077" s="303"/>
      <c r="O1077" s="303"/>
      <c r="P1077" s="303"/>
      <c r="Q1077" s="25"/>
      <c r="R1077" s="25"/>
      <c r="S1077" s="25"/>
      <c r="T1077" s="25"/>
      <c r="U1077" s="25"/>
    </row>
    <row r="1078" spans="6:21">
      <c r="F1078" s="303"/>
      <c r="G1078" s="303"/>
      <c r="J1078" s="303"/>
      <c r="K1078" s="324"/>
      <c r="L1078" s="303"/>
      <c r="M1078" s="303"/>
      <c r="N1078" s="303"/>
      <c r="O1078" s="303"/>
      <c r="P1078" s="303"/>
      <c r="Q1078" s="25"/>
      <c r="R1078" s="25"/>
      <c r="S1078" s="25"/>
      <c r="T1078" s="25"/>
      <c r="U1078" s="25"/>
    </row>
    <row r="1079" spans="6:21">
      <c r="F1079" s="303"/>
      <c r="G1079" s="303"/>
      <c r="J1079" s="303"/>
      <c r="K1079" s="324"/>
      <c r="L1079" s="303"/>
      <c r="M1079" s="303"/>
      <c r="N1079" s="303"/>
      <c r="O1079" s="303"/>
      <c r="P1079" s="303"/>
      <c r="Q1079" s="25"/>
      <c r="R1079" s="25"/>
      <c r="S1079" s="25"/>
      <c r="T1079" s="25"/>
      <c r="U1079" s="25"/>
    </row>
    <row r="1080" spans="6:21">
      <c r="F1080" s="303"/>
      <c r="G1080" s="303"/>
      <c r="J1080" s="303"/>
      <c r="K1080" s="324"/>
      <c r="L1080" s="303"/>
      <c r="M1080" s="303"/>
      <c r="N1080" s="303"/>
      <c r="O1080" s="303"/>
      <c r="P1080" s="303"/>
      <c r="Q1080" s="25"/>
      <c r="R1080" s="25"/>
      <c r="S1080" s="25"/>
      <c r="T1080" s="25"/>
      <c r="U1080" s="25"/>
    </row>
    <row r="1081" spans="6:21">
      <c r="F1081" s="303"/>
      <c r="G1081" s="303"/>
      <c r="J1081" s="303"/>
      <c r="K1081" s="324"/>
      <c r="L1081" s="303"/>
      <c r="M1081" s="303"/>
      <c r="N1081" s="303"/>
      <c r="O1081" s="303"/>
      <c r="P1081" s="303"/>
      <c r="Q1081" s="25"/>
      <c r="R1081" s="25"/>
      <c r="S1081" s="25"/>
      <c r="T1081" s="25"/>
      <c r="U1081" s="25"/>
    </row>
    <row r="1082" spans="6:21">
      <c r="F1082" s="303"/>
      <c r="G1082" s="303"/>
      <c r="J1082" s="303"/>
      <c r="K1082" s="324"/>
      <c r="L1082" s="303"/>
      <c r="M1082" s="303"/>
      <c r="N1082" s="303"/>
      <c r="O1082" s="303"/>
      <c r="P1082" s="303"/>
      <c r="Q1082" s="25"/>
      <c r="R1082" s="25"/>
      <c r="S1082" s="25"/>
      <c r="T1082" s="25"/>
      <c r="U1082" s="25"/>
    </row>
    <row r="1083" spans="6:21">
      <c r="F1083" s="303"/>
      <c r="G1083" s="303"/>
      <c r="J1083" s="303"/>
      <c r="K1083" s="324"/>
      <c r="L1083" s="303"/>
      <c r="M1083" s="303"/>
      <c r="N1083" s="303"/>
      <c r="O1083" s="303"/>
      <c r="P1083" s="303"/>
      <c r="Q1083" s="25"/>
      <c r="R1083" s="25"/>
      <c r="S1083" s="25"/>
      <c r="T1083" s="25"/>
      <c r="U1083" s="25"/>
    </row>
    <row r="1084" spans="6:21">
      <c r="F1084" s="303"/>
      <c r="G1084" s="303"/>
      <c r="J1084" s="303"/>
      <c r="K1084" s="324"/>
      <c r="L1084" s="303"/>
      <c r="M1084" s="303"/>
      <c r="N1084" s="303"/>
      <c r="O1084" s="303"/>
      <c r="P1084" s="303"/>
      <c r="Q1084" s="25"/>
      <c r="R1084" s="25"/>
      <c r="S1084" s="25"/>
      <c r="T1084" s="25"/>
      <c r="U1084" s="25"/>
    </row>
    <row r="1085" spans="6:21">
      <c r="F1085" s="303"/>
      <c r="G1085" s="303"/>
      <c r="J1085" s="303"/>
      <c r="K1085" s="324"/>
      <c r="L1085" s="303"/>
      <c r="M1085" s="303"/>
      <c r="N1085" s="303"/>
      <c r="O1085" s="303"/>
      <c r="P1085" s="303"/>
      <c r="Q1085" s="25"/>
      <c r="R1085" s="25"/>
      <c r="S1085" s="25"/>
      <c r="T1085" s="25"/>
      <c r="U1085" s="25"/>
    </row>
    <row r="1086" spans="6:21">
      <c r="F1086" s="303"/>
      <c r="G1086" s="303"/>
      <c r="J1086" s="303"/>
      <c r="K1086" s="324"/>
      <c r="L1086" s="303"/>
      <c r="M1086" s="303"/>
      <c r="N1086" s="303"/>
      <c r="O1086" s="303"/>
      <c r="P1086" s="303"/>
      <c r="Q1086" s="25"/>
      <c r="R1086" s="25"/>
      <c r="S1086" s="25"/>
      <c r="T1086" s="25"/>
      <c r="U1086" s="25"/>
    </row>
    <row r="1087" spans="6:21">
      <c r="F1087" s="303"/>
      <c r="G1087" s="303"/>
      <c r="J1087" s="303"/>
      <c r="K1087" s="324"/>
      <c r="L1087" s="303"/>
      <c r="M1087" s="303"/>
      <c r="N1087" s="303"/>
      <c r="O1087" s="303"/>
      <c r="P1087" s="303"/>
      <c r="Q1087" s="25"/>
      <c r="R1087" s="25"/>
      <c r="S1087" s="25"/>
      <c r="T1087" s="25"/>
      <c r="U1087" s="25"/>
    </row>
    <row r="1088" spans="6:21">
      <c r="F1088" s="303"/>
      <c r="G1088" s="303"/>
      <c r="J1088" s="303"/>
      <c r="K1088" s="324"/>
      <c r="L1088" s="303"/>
      <c r="M1088" s="303"/>
      <c r="N1088" s="303"/>
      <c r="O1088" s="303"/>
      <c r="P1088" s="303"/>
      <c r="Q1088" s="25"/>
      <c r="R1088" s="25"/>
      <c r="S1088" s="25"/>
      <c r="T1088" s="25"/>
      <c r="U1088" s="25"/>
    </row>
    <row r="1089" spans="6:21">
      <c r="F1089" s="303"/>
      <c r="G1089" s="303"/>
      <c r="J1089" s="303"/>
      <c r="K1089" s="324"/>
      <c r="L1089" s="303"/>
      <c r="M1089" s="303"/>
      <c r="N1089" s="303"/>
      <c r="O1089" s="303"/>
      <c r="P1089" s="303"/>
      <c r="Q1089" s="25"/>
      <c r="R1089" s="25"/>
      <c r="S1089" s="25"/>
      <c r="T1089" s="25"/>
      <c r="U1089" s="25"/>
    </row>
    <row r="1090" spans="6:21">
      <c r="F1090" s="303"/>
      <c r="G1090" s="303"/>
      <c r="J1090" s="303"/>
      <c r="K1090" s="324"/>
      <c r="L1090" s="303"/>
      <c r="M1090" s="303"/>
      <c r="N1090" s="303"/>
      <c r="O1090" s="303"/>
      <c r="P1090" s="303"/>
      <c r="Q1090" s="25"/>
      <c r="R1090" s="25"/>
      <c r="S1090" s="25"/>
      <c r="T1090" s="25"/>
      <c r="U1090" s="25"/>
    </row>
    <row r="1091" spans="6:21">
      <c r="F1091" s="303"/>
      <c r="G1091" s="303"/>
      <c r="J1091" s="303"/>
      <c r="K1091" s="324"/>
      <c r="L1091" s="303"/>
      <c r="M1091" s="303"/>
      <c r="N1091" s="303"/>
      <c r="O1091" s="303"/>
      <c r="P1091" s="303"/>
      <c r="Q1091" s="25"/>
      <c r="R1091" s="25"/>
      <c r="S1091" s="25"/>
      <c r="T1091" s="25"/>
      <c r="U1091" s="25"/>
    </row>
    <row r="1092" spans="6:21">
      <c r="F1092" s="303"/>
      <c r="G1092" s="303"/>
      <c r="J1092" s="303"/>
      <c r="K1092" s="324"/>
      <c r="L1092" s="303"/>
      <c r="M1092" s="303"/>
      <c r="N1092" s="303"/>
      <c r="O1092" s="303"/>
      <c r="P1092" s="303"/>
      <c r="Q1092" s="25"/>
      <c r="R1092" s="25"/>
      <c r="S1092" s="25"/>
      <c r="T1092" s="25"/>
      <c r="U1092" s="25"/>
    </row>
    <row r="1093" spans="6:21">
      <c r="F1093" s="303"/>
      <c r="G1093" s="303"/>
      <c r="J1093" s="303"/>
      <c r="K1093" s="324"/>
      <c r="L1093" s="303"/>
      <c r="M1093" s="303"/>
      <c r="N1093" s="303"/>
      <c r="O1093" s="303"/>
      <c r="P1093" s="303"/>
      <c r="Q1093" s="25"/>
      <c r="R1093" s="25"/>
      <c r="S1093" s="25"/>
      <c r="T1093" s="25"/>
      <c r="U1093" s="25"/>
    </row>
    <row r="1094" spans="6:21">
      <c r="F1094" s="303"/>
      <c r="G1094" s="303"/>
      <c r="J1094" s="303"/>
      <c r="K1094" s="324"/>
      <c r="L1094" s="303"/>
      <c r="M1094" s="303"/>
      <c r="N1094" s="303"/>
      <c r="O1094" s="303"/>
      <c r="P1094" s="303"/>
      <c r="Q1094" s="25"/>
      <c r="R1094" s="25"/>
      <c r="S1094" s="25"/>
      <c r="T1094" s="25"/>
      <c r="U1094" s="25"/>
    </row>
    <row r="1095" spans="6:21">
      <c r="F1095" s="303"/>
      <c r="G1095" s="303"/>
      <c r="J1095" s="303"/>
      <c r="K1095" s="324"/>
      <c r="L1095" s="303"/>
      <c r="M1095" s="303"/>
      <c r="N1095" s="303"/>
      <c r="O1095" s="303"/>
      <c r="P1095" s="303"/>
      <c r="Q1095" s="25"/>
      <c r="R1095" s="25"/>
      <c r="S1095" s="25"/>
      <c r="T1095" s="25"/>
      <c r="U1095" s="25"/>
    </row>
    <row r="1096" spans="6:21">
      <c r="F1096" s="303"/>
      <c r="G1096" s="303"/>
      <c r="J1096" s="303"/>
      <c r="K1096" s="324"/>
      <c r="L1096" s="303"/>
      <c r="M1096" s="303"/>
      <c r="N1096" s="303"/>
      <c r="O1096" s="303"/>
      <c r="P1096" s="303"/>
      <c r="Q1096" s="25"/>
      <c r="R1096" s="25"/>
      <c r="S1096" s="25"/>
      <c r="T1096" s="25"/>
      <c r="U1096" s="25"/>
    </row>
    <row r="1097" spans="6:21">
      <c r="F1097" s="303"/>
      <c r="G1097" s="303"/>
      <c r="J1097" s="303"/>
      <c r="K1097" s="324"/>
      <c r="L1097" s="303"/>
      <c r="M1097" s="303"/>
      <c r="N1097" s="303"/>
      <c r="O1097" s="303"/>
      <c r="P1097" s="303"/>
      <c r="Q1097" s="25"/>
      <c r="R1097" s="25"/>
      <c r="S1097" s="25"/>
      <c r="T1097" s="25"/>
      <c r="U1097" s="25"/>
    </row>
    <row r="1098" spans="6:21">
      <c r="F1098" s="303"/>
      <c r="G1098" s="303"/>
      <c r="J1098" s="303"/>
      <c r="K1098" s="324"/>
      <c r="L1098" s="303"/>
      <c r="M1098" s="303"/>
      <c r="N1098" s="303"/>
      <c r="O1098" s="303"/>
      <c r="P1098" s="303"/>
      <c r="Q1098" s="25"/>
      <c r="R1098" s="25"/>
      <c r="S1098" s="25"/>
      <c r="T1098" s="25"/>
      <c r="U1098" s="25"/>
    </row>
    <row r="1099" spans="6:21">
      <c r="F1099" s="303"/>
      <c r="G1099" s="303"/>
      <c r="J1099" s="303"/>
      <c r="K1099" s="324"/>
      <c r="L1099" s="303"/>
      <c r="M1099" s="303"/>
      <c r="N1099" s="303"/>
      <c r="O1099" s="303"/>
      <c r="P1099" s="303"/>
      <c r="Q1099" s="25"/>
      <c r="R1099" s="25"/>
      <c r="S1099" s="25"/>
      <c r="T1099" s="25"/>
      <c r="U1099" s="25"/>
    </row>
    <row r="1100" spans="6:21">
      <c r="F1100" s="303"/>
      <c r="G1100" s="303"/>
      <c r="J1100" s="303"/>
      <c r="K1100" s="324"/>
      <c r="L1100" s="303"/>
      <c r="M1100" s="303"/>
      <c r="N1100" s="303"/>
      <c r="O1100" s="303"/>
      <c r="P1100" s="303"/>
      <c r="Q1100" s="25"/>
      <c r="R1100" s="25"/>
      <c r="S1100" s="25"/>
      <c r="T1100" s="25"/>
      <c r="U1100" s="25"/>
    </row>
    <row r="1101" spans="6:21">
      <c r="F1101" s="303"/>
      <c r="G1101" s="303"/>
      <c r="J1101" s="303"/>
      <c r="K1101" s="324"/>
      <c r="L1101" s="303"/>
      <c r="M1101" s="303"/>
      <c r="N1101" s="303"/>
      <c r="O1101" s="303"/>
      <c r="P1101" s="303"/>
      <c r="Q1101" s="25"/>
      <c r="R1101" s="25"/>
      <c r="S1101" s="25"/>
      <c r="T1101" s="25"/>
      <c r="U1101" s="25"/>
    </row>
    <row r="1102" spans="6:21">
      <c r="F1102" s="303"/>
      <c r="G1102" s="303"/>
      <c r="J1102" s="303"/>
      <c r="K1102" s="324"/>
      <c r="L1102" s="303"/>
      <c r="M1102" s="303"/>
      <c r="N1102" s="303"/>
      <c r="O1102" s="303"/>
      <c r="P1102" s="303"/>
      <c r="Q1102" s="25"/>
      <c r="R1102" s="25"/>
      <c r="S1102" s="25"/>
      <c r="T1102" s="25"/>
      <c r="U1102" s="25"/>
    </row>
    <row r="1103" spans="6:21">
      <c r="F1103" s="303"/>
      <c r="G1103" s="303"/>
      <c r="J1103" s="303"/>
      <c r="K1103" s="324"/>
      <c r="L1103" s="303"/>
      <c r="M1103" s="303"/>
      <c r="N1103" s="303"/>
      <c r="O1103" s="303"/>
      <c r="P1103" s="303"/>
      <c r="Q1103" s="25"/>
      <c r="R1103" s="25"/>
      <c r="S1103" s="25"/>
      <c r="T1103" s="25"/>
      <c r="U1103" s="25"/>
    </row>
    <row r="1104" spans="6:21">
      <c r="F1104" s="303"/>
      <c r="G1104" s="303"/>
      <c r="J1104" s="303"/>
      <c r="K1104" s="324"/>
      <c r="L1104" s="303"/>
      <c r="M1104" s="303"/>
      <c r="N1104" s="303"/>
      <c r="O1104" s="303"/>
      <c r="P1104" s="303"/>
      <c r="Q1104" s="25"/>
      <c r="R1104" s="25"/>
      <c r="S1104" s="25"/>
      <c r="T1104" s="25"/>
      <c r="U1104" s="25"/>
    </row>
    <row r="1105" spans="6:21">
      <c r="F1105" s="303"/>
      <c r="G1105" s="303"/>
      <c r="J1105" s="303"/>
      <c r="K1105" s="324"/>
      <c r="L1105" s="303"/>
      <c r="M1105" s="303"/>
      <c r="N1105" s="303"/>
      <c r="O1105" s="303"/>
      <c r="P1105" s="303"/>
      <c r="Q1105" s="25"/>
      <c r="R1105" s="25"/>
      <c r="S1105" s="25"/>
      <c r="T1105" s="25"/>
      <c r="U1105" s="25"/>
    </row>
    <row r="1106" spans="6:21">
      <c r="F1106" s="303"/>
      <c r="G1106" s="303"/>
      <c r="J1106" s="303"/>
      <c r="K1106" s="324"/>
      <c r="L1106" s="303"/>
      <c r="M1106" s="303"/>
      <c r="N1106" s="303"/>
      <c r="O1106" s="303"/>
      <c r="P1106" s="303"/>
      <c r="Q1106" s="25"/>
      <c r="R1106" s="25"/>
      <c r="S1106" s="25"/>
      <c r="T1106" s="25"/>
      <c r="U1106" s="25"/>
    </row>
    <row r="1107" spans="6:21">
      <c r="F1107" s="303"/>
      <c r="G1107" s="303"/>
      <c r="J1107" s="303"/>
      <c r="K1107" s="324"/>
      <c r="L1107" s="303"/>
      <c r="M1107" s="303"/>
      <c r="N1107" s="303"/>
      <c r="O1107" s="303"/>
      <c r="P1107" s="303"/>
      <c r="Q1107" s="25"/>
      <c r="R1107" s="25"/>
      <c r="S1107" s="25"/>
      <c r="T1107" s="25"/>
      <c r="U1107" s="25"/>
    </row>
    <row r="1108" spans="6:21">
      <c r="F1108" s="303"/>
      <c r="G1108" s="303"/>
      <c r="J1108" s="303"/>
      <c r="K1108" s="324"/>
      <c r="L1108" s="303"/>
      <c r="M1108" s="303"/>
      <c r="N1108" s="303"/>
      <c r="O1108" s="303"/>
      <c r="P1108" s="303"/>
      <c r="Q1108" s="25"/>
      <c r="R1108" s="25"/>
      <c r="S1108" s="25"/>
      <c r="T1108" s="25"/>
      <c r="U1108" s="25"/>
    </row>
    <row r="1109" spans="6:21">
      <c r="F1109" s="303"/>
      <c r="G1109" s="303"/>
      <c r="J1109" s="303"/>
      <c r="K1109" s="324"/>
      <c r="L1109" s="303"/>
      <c r="M1109" s="303"/>
      <c r="N1109" s="303"/>
      <c r="O1109" s="303"/>
      <c r="P1109" s="303"/>
      <c r="Q1109" s="25"/>
      <c r="R1109" s="25"/>
      <c r="S1109" s="25"/>
      <c r="T1109" s="25"/>
      <c r="U1109" s="25"/>
    </row>
    <row r="1110" spans="6:21">
      <c r="F1110" s="303"/>
      <c r="G1110" s="303"/>
      <c r="J1110" s="303"/>
      <c r="K1110" s="324"/>
      <c r="L1110" s="303"/>
      <c r="M1110" s="303"/>
      <c r="N1110" s="303"/>
      <c r="O1110" s="303"/>
      <c r="P1110" s="303"/>
      <c r="Q1110" s="25"/>
      <c r="R1110" s="25"/>
      <c r="S1110" s="25"/>
      <c r="T1110" s="25"/>
      <c r="U1110" s="25"/>
    </row>
    <row r="1111" spans="6:21">
      <c r="F1111" s="303"/>
      <c r="G1111" s="303"/>
      <c r="J1111" s="303"/>
      <c r="K1111" s="324"/>
      <c r="L1111" s="303"/>
      <c r="M1111" s="303"/>
      <c r="N1111" s="303"/>
      <c r="O1111" s="303"/>
      <c r="P1111" s="303"/>
      <c r="Q1111" s="25"/>
      <c r="R1111" s="25"/>
      <c r="S1111" s="25"/>
      <c r="T1111" s="25"/>
      <c r="U1111" s="25"/>
    </row>
    <row r="1112" spans="6:21">
      <c r="F1112" s="303"/>
      <c r="G1112" s="303"/>
      <c r="J1112" s="303"/>
      <c r="K1112" s="324"/>
      <c r="L1112" s="303"/>
      <c r="M1112" s="303"/>
      <c r="N1112" s="303"/>
      <c r="O1112" s="303"/>
      <c r="P1112" s="303"/>
      <c r="Q1112" s="25"/>
      <c r="R1112" s="25"/>
      <c r="S1112" s="25"/>
      <c r="T1112" s="25"/>
      <c r="U1112" s="25"/>
    </row>
    <row r="1113" spans="6:21">
      <c r="F1113" s="303"/>
      <c r="G1113" s="303"/>
      <c r="J1113" s="303"/>
      <c r="K1113" s="324"/>
      <c r="L1113" s="303"/>
      <c r="M1113" s="303"/>
      <c r="N1113" s="303"/>
      <c r="O1113" s="303"/>
      <c r="P1113" s="303"/>
      <c r="Q1113" s="25"/>
      <c r="R1113" s="25"/>
      <c r="S1113" s="25"/>
      <c r="T1113" s="25"/>
      <c r="U1113" s="25"/>
    </row>
    <row r="1114" spans="6:21">
      <c r="F1114" s="303"/>
      <c r="G1114" s="303"/>
      <c r="J1114" s="303"/>
      <c r="K1114" s="324"/>
      <c r="L1114" s="303"/>
      <c r="M1114" s="303"/>
      <c r="N1114" s="303"/>
      <c r="O1114" s="303"/>
      <c r="P1114" s="303"/>
      <c r="Q1114" s="25"/>
      <c r="R1114" s="25"/>
      <c r="S1114" s="25"/>
      <c r="T1114" s="25"/>
      <c r="U1114" s="25"/>
    </row>
    <row r="1115" spans="6:21">
      <c r="F1115" s="303"/>
      <c r="G1115" s="303"/>
      <c r="J1115" s="303"/>
      <c r="K1115" s="324"/>
      <c r="L1115" s="303"/>
      <c r="M1115" s="303"/>
      <c r="N1115" s="303"/>
      <c r="O1115" s="303"/>
      <c r="P1115" s="303"/>
      <c r="Q1115" s="25"/>
      <c r="R1115" s="25"/>
      <c r="S1115" s="25"/>
      <c r="T1115" s="25"/>
      <c r="U1115" s="25"/>
    </row>
    <row r="1116" spans="6:21">
      <c r="F1116" s="303"/>
      <c r="G1116" s="303"/>
      <c r="J1116" s="303"/>
      <c r="K1116" s="324"/>
      <c r="L1116" s="303"/>
      <c r="M1116" s="303"/>
      <c r="N1116" s="303"/>
      <c r="O1116" s="303"/>
      <c r="P1116" s="303"/>
      <c r="Q1116" s="25"/>
      <c r="R1116" s="25"/>
      <c r="S1116" s="25"/>
      <c r="T1116" s="25"/>
      <c r="U1116" s="25"/>
    </row>
    <row r="1117" spans="6:21">
      <c r="F1117" s="303"/>
      <c r="G1117" s="303"/>
      <c r="J1117" s="303"/>
      <c r="K1117" s="324"/>
      <c r="L1117" s="303"/>
      <c r="M1117" s="303"/>
      <c r="N1117" s="303"/>
      <c r="O1117" s="303"/>
      <c r="P1117" s="303"/>
      <c r="Q1117" s="25"/>
      <c r="R1117" s="25"/>
      <c r="S1117" s="25"/>
      <c r="T1117" s="25"/>
      <c r="U1117" s="25"/>
    </row>
    <row r="1118" spans="6:21">
      <c r="F1118" s="303"/>
      <c r="G1118" s="303"/>
      <c r="J1118" s="303"/>
      <c r="K1118" s="324"/>
      <c r="L1118" s="303"/>
      <c r="M1118" s="303"/>
      <c r="N1118" s="303"/>
      <c r="O1118" s="303"/>
      <c r="P1118" s="303"/>
      <c r="Q1118" s="25"/>
      <c r="R1118" s="25"/>
      <c r="S1118" s="25"/>
      <c r="T1118" s="25"/>
      <c r="U1118" s="25"/>
    </row>
    <row r="1119" spans="6:21">
      <c r="F1119" s="303"/>
      <c r="G1119" s="303"/>
      <c r="J1119" s="303"/>
      <c r="K1119" s="324"/>
      <c r="L1119" s="303"/>
      <c r="M1119" s="303"/>
      <c r="N1119" s="303"/>
      <c r="O1119" s="303"/>
      <c r="P1119" s="303"/>
      <c r="Q1119" s="25"/>
      <c r="R1119" s="25"/>
      <c r="S1119" s="25"/>
      <c r="T1119" s="25"/>
      <c r="U1119" s="25"/>
    </row>
    <row r="1120" spans="6:21">
      <c r="F1120" s="303"/>
      <c r="G1120" s="303"/>
      <c r="J1120" s="303"/>
      <c r="K1120" s="324"/>
      <c r="L1120" s="303"/>
      <c r="M1120" s="303"/>
      <c r="N1120" s="303"/>
      <c r="O1120" s="303"/>
      <c r="P1120" s="303"/>
      <c r="Q1120" s="25"/>
      <c r="R1120" s="25"/>
      <c r="S1120" s="25"/>
      <c r="T1120" s="25"/>
      <c r="U1120" s="25"/>
    </row>
    <row r="1121" spans="6:21">
      <c r="F1121" s="303"/>
      <c r="G1121" s="303"/>
      <c r="J1121" s="303"/>
      <c r="K1121" s="324"/>
      <c r="L1121" s="303"/>
      <c r="M1121" s="303"/>
      <c r="N1121" s="303"/>
      <c r="O1121" s="303"/>
      <c r="P1121" s="303"/>
      <c r="Q1121" s="25"/>
      <c r="R1121" s="25"/>
      <c r="S1121" s="25"/>
      <c r="T1121" s="25"/>
      <c r="U1121" s="25"/>
    </row>
    <row r="1122" spans="6:21">
      <c r="F1122" s="303"/>
      <c r="G1122" s="303"/>
      <c r="J1122" s="303"/>
      <c r="K1122" s="324"/>
      <c r="L1122" s="303"/>
      <c r="M1122" s="303"/>
      <c r="N1122" s="303"/>
      <c r="O1122" s="303"/>
      <c r="P1122" s="303"/>
      <c r="Q1122" s="25"/>
      <c r="R1122" s="25"/>
      <c r="S1122" s="25"/>
      <c r="T1122" s="25"/>
      <c r="U1122" s="25"/>
    </row>
    <row r="1123" spans="6:21">
      <c r="F1123" s="303"/>
      <c r="G1123" s="303"/>
      <c r="J1123" s="303"/>
      <c r="K1123" s="324"/>
      <c r="L1123" s="303"/>
      <c r="M1123" s="303"/>
      <c r="N1123" s="303"/>
      <c r="O1123" s="303"/>
      <c r="P1123" s="303"/>
      <c r="Q1123" s="25"/>
      <c r="R1123" s="25"/>
      <c r="S1123" s="25"/>
      <c r="T1123" s="25"/>
      <c r="U1123" s="25"/>
    </row>
    <row r="1124" spans="6:21">
      <c r="F1124" s="303"/>
      <c r="G1124" s="303"/>
      <c r="J1124" s="303"/>
      <c r="K1124" s="324"/>
      <c r="L1124" s="303"/>
      <c r="M1124" s="303"/>
      <c r="N1124" s="303"/>
      <c r="O1124" s="303"/>
      <c r="P1124" s="303"/>
      <c r="Q1124" s="25"/>
      <c r="R1124" s="25"/>
      <c r="S1124" s="25"/>
      <c r="T1124" s="25"/>
      <c r="U1124" s="25"/>
    </row>
    <row r="1125" spans="6:21">
      <c r="F1125" s="303"/>
      <c r="G1125" s="303"/>
      <c r="J1125" s="303"/>
      <c r="K1125" s="324"/>
      <c r="L1125" s="303"/>
      <c r="M1125" s="303"/>
      <c r="N1125" s="303"/>
      <c r="O1125" s="303"/>
      <c r="P1125" s="303"/>
      <c r="Q1125" s="25"/>
      <c r="R1125" s="25"/>
      <c r="S1125" s="25"/>
      <c r="T1125" s="25"/>
      <c r="U1125" s="25"/>
    </row>
    <row r="1126" spans="6:21">
      <c r="F1126" s="303"/>
      <c r="G1126" s="303"/>
      <c r="J1126" s="303"/>
      <c r="K1126" s="324"/>
      <c r="L1126" s="303"/>
      <c r="M1126" s="303"/>
      <c r="N1126" s="303"/>
      <c r="O1126" s="303"/>
      <c r="P1126" s="303"/>
      <c r="Q1126" s="25"/>
      <c r="R1126" s="25"/>
      <c r="S1126" s="25"/>
      <c r="T1126" s="25"/>
      <c r="U1126" s="25"/>
    </row>
    <row r="1127" spans="6:21">
      <c r="F1127" s="303"/>
      <c r="G1127" s="303"/>
      <c r="J1127" s="303"/>
      <c r="K1127" s="324"/>
      <c r="L1127" s="303"/>
      <c r="M1127" s="303"/>
      <c r="N1127" s="303"/>
      <c r="O1127" s="303"/>
      <c r="P1127" s="303"/>
      <c r="Q1127" s="25"/>
      <c r="R1127" s="25"/>
      <c r="S1127" s="25"/>
      <c r="T1127" s="25"/>
      <c r="U1127" s="25"/>
    </row>
    <row r="1128" spans="6:21">
      <c r="F1128" s="303"/>
      <c r="G1128" s="303"/>
      <c r="J1128" s="303"/>
      <c r="K1128" s="324"/>
      <c r="L1128" s="303"/>
      <c r="M1128" s="303"/>
      <c r="N1128" s="303"/>
      <c r="O1128" s="303"/>
      <c r="P1128" s="303"/>
      <c r="Q1128" s="25"/>
      <c r="R1128" s="25"/>
      <c r="S1128" s="25"/>
      <c r="T1128" s="25"/>
      <c r="U1128" s="25"/>
    </row>
    <row r="1129" spans="6:21">
      <c r="F1129" s="303"/>
      <c r="G1129" s="303"/>
      <c r="J1129" s="303"/>
      <c r="K1129" s="324"/>
      <c r="L1129" s="303"/>
      <c r="M1129" s="303"/>
      <c r="N1129" s="303"/>
      <c r="O1129" s="303"/>
      <c r="P1129" s="303"/>
      <c r="Q1129" s="25"/>
      <c r="R1129" s="25"/>
      <c r="S1129" s="25"/>
      <c r="T1129" s="25"/>
      <c r="U1129" s="25"/>
    </row>
    <row r="1130" spans="6:21">
      <c r="F1130" s="303"/>
      <c r="G1130" s="303"/>
      <c r="J1130" s="303"/>
      <c r="K1130" s="324"/>
      <c r="L1130" s="303"/>
      <c r="M1130" s="303"/>
      <c r="N1130" s="303"/>
      <c r="O1130" s="303"/>
      <c r="P1130" s="303"/>
      <c r="Q1130" s="25"/>
      <c r="R1130" s="25"/>
      <c r="S1130" s="25"/>
      <c r="T1130" s="25"/>
      <c r="U1130" s="25"/>
    </row>
    <row r="1131" spans="6:21">
      <c r="F1131" s="303"/>
      <c r="G1131" s="303"/>
      <c r="J1131" s="303"/>
      <c r="K1131" s="324"/>
      <c r="L1131" s="303"/>
      <c r="M1131" s="303"/>
      <c r="N1131" s="303"/>
      <c r="O1131" s="303"/>
      <c r="P1131" s="303"/>
      <c r="Q1131" s="25"/>
      <c r="R1131" s="25"/>
      <c r="S1131" s="25"/>
      <c r="T1131" s="25"/>
      <c r="U1131" s="25"/>
    </row>
    <row r="1132" spans="6:21">
      <c r="F1132" s="303"/>
      <c r="G1132" s="303"/>
      <c r="J1132" s="303"/>
      <c r="K1132" s="324"/>
      <c r="L1132" s="303"/>
      <c r="M1132" s="303"/>
      <c r="N1132" s="303"/>
      <c r="O1132" s="303"/>
      <c r="P1132" s="303"/>
      <c r="Q1132" s="25"/>
      <c r="R1132" s="25"/>
      <c r="S1132" s="25"/>
      <c r="T1132" s="25"/>
      <c r="U1132" s="25"/>
    </row>
    <row r="1133" spans="6:21">
      <c r="F1133" s="303"/>
      <c r="G1133" s="303"/>
      <c r="J1133" s="303"/>
      <c r="K1133" s="324"/>
      <c r="L1133" s="303"/>
      <c r="M1133" s="303"/>
      <c r="N1133" s="303"/>
      <c r="O1133" s="303"/>
      <c r="P1133" s="303"/>
      <c r="Q1133" s="25"/>
      <c r="R1133" s="25"/>
      <c r="S1133" s="25"/>
      <c r="T1133" s="25"/>
      <c r="U1133" s="25"/>
    </row>
    <row r="1134" spans="6:21">
      <c r="F1134" s="303"/>
      <c r="G1134" s="303"/>
      <c r="J1134" s="303"/>
      <c r="K1134" s="324"/>
      <c r="L1134" s="303"/>
      <c r="M1134" s="303"/>
      <c r="N1134" s="303"/>
      <c r="O1134" s="303"/>
      <c r="P1134" s="303"/>
      <c r="Q1134" s="25"/>
      <c r="R1134" s="25"/>
      <c r="S1134" s="25"/>
      <c r="T1134" s="25"/>
      <c r="U1134" s="25"/>
    </row>
    <row r="1135" spans="6:21">
      <c r="F1135" s="303"/>
      <c r="G1135" s="303"/>
      <c r="J1135" s="303"/>
      <c r="K1135" s="324"/>
      <c r="L1135" s="303"/>
      <c r="M1135" s="303"/>
      <c r="N1135" s="303"/>
      <c r="O1135" s="303"/>
      <c r="P1135" s="303"/>
      <c r="Q1135" s="25"/>
      <c r="R1135" s="25"/>
      <c r="S1135" s="25"/>
      <c r="T1135" s="25"/>
      <c r="U1135" s="25"/>
    </row>
    <row r="1136" spans="6:21">
      <c r="F1136" s="303"/>
      <c r="G1136" s="303"/>
      <c r="J1136" s="303"/>
      <c r="K1136" s="324"/>
      <c r="L1136" s="303"/>
      <c r="M1136" s="303"/>
      <c r="N1136" s="303"/>
      <c r="O1136" s="303"/>
      <c r="P1136" s="303"/>
      <c r="Q1136" s="25"/>
      <c r="R1136" s="25"/>
      <c r="S1136" s="25"/>
      <c r="T1136" s="25"/>
      <c r="U1136" s="25"/>
    </row>
    <row r="1137" spans="6:21">
      <c r="F1137" s="303"/>
      <c r="G1137" s="303"/>
      <c r="J1137" s="303"/>
      <c r="K1137" s="324"/>
      <c r="L1137" s="303"/>
      <c r="M1137" s="303"/>
      <c r="N1137" s="303"/>
      <c r="O1137" s="303"/>
      <c r="P1137" s="303"/>
      <c r="Q1137" s="25"/>
      <c r="R1137" s="25"/>
      <c r="S1137" s="25"/>
      <c r="T1137" s="25"/>
      <c r="U1137" s="25"/>
    </row>
    <row r="1138" spans="6:21">
      <c r="F1138" s="303"/>
      <c r="G1138" s="303"/>
      <c r="J1138" s="303"/>
      <c r="K1138" s="324"/>
      <c r="L1138" s="303"/>
      <c r="M1138" s="303"/>
      <c r="N1138" s="303"/>
      <c r="O1138" s="303"/>
      <c r="P1138" s="303"/>
      <c r="Q1138" s="25"/>
      <c r="R1138" s="25"/>
      <c r="S1138" s="25"/>
      <c r="T1138" s="25"/>
      <c r="U1138" s="25"/>
    </row>
    <row r="1139" spans="6:21">
      <c r="F1139" s="303"/>
      <c r="G1139" s="303"/>
      <c r="J1139" s="303"/>
      <c r="K1139" s="324"/>
      <c r="L1139" s="303"/>
      <c r="M1139" s="303"/>
      <c r="N1139" s="303"/>
      <c r="O1139" s="303"/>
      <c r="P1139" s="303"/>
      <c r="Q1139" s="25"/>
      <c r="R1139" s="25"/>
      <c r="S1139" s="25"/>
      <c r="T1139" s="25"/>
      <c r="U1139" s="25"/>
    </row>
    <row r="1140" spans="6:21">
      <c r="F1140" s="303"/>
      <c r="G1140" s="303"/>
      <c r="J1140" s="303"/>
      <c r="K1140" s="324"/>
      <c r="L1140" s="303"/>
      <c r="M1140" s="303"/>
      <c r="N1140" s="303"/>
      <c r="O1140" s="303"/>
      <c r="P1140" s="303"/>
      <c r="Q1140" s="25"/>
      <c r="R1140" s="25"/>
      <c r="S1140" s="25"/>
      <c r="T1140" s="25"/>
      <c r="U1140" s="25"/>
    </row>
    <row r="1141" spans="6:21">
      <c r="F1141" s="303"/>
      <c r="G1141" s="303"/>
      <c r="J1141" s="303"/>
      <c r="K1141" s="324"/>
      <c r="L1141" s="303"/>
      <c r="M1141" s="303"/>
      <c r="N1141" s="303"/>
      <c r="O1141" s="303"/>
      <c r="P1141" s="303"/>
      <c r="Q1141" s="25"/>
      <c r="R1141" s="25"/>
      <c r="S1141" s="25"/>
      <c r="T1141" s="25"/>
      <c r="U1141" s="25"/>
    </row>
    <row r="1142" spans="6:21">
      <c r="F1142" s="303"/>
      <c r="G1142" s="303"/>
      <c r="J1142" s="303"/>
      <c r="K1142" s="324"/>
      <c r="L1142" s="303"/>
      <c r="M1142" s="303"/>
      <c r="N1142" s="303"/>
      <c r="O1142" s="303"/>
      <c r="P1142" s="303"/>
      <c r="Q1142" s="25"/>
      <c r="R1142" s="25"/>
      <c r="S1142" s="25"/>
      <c r="T1142" s="25"/>
      <c r="U1142" s="25"/>
    </row>
    <row r="1143" spans="6:21">
      <c r="F1143" s="303"/>
      <c r="G1143" s="303"/>
      <c r="J1143" s="303"/>
      <c r="K1143" s="324"/>
      <c r="L1143" s="303"/>
      <c r="M1143" s="303"/>
      <c r="N1143" s="303"/>
      <c r="O1143" s="303"/>
      <c r="P1143" s="303"/>
      <c r="Q1143" s="25"/>
      <c r="R1143" s="25"/>
      <c r="S1143" s="25"/>
      <c r="T1143" s="25"/>
      <c r="U1143" s="25"/>
    </row>
    <row r="1144" spans="6:21">
      <c r="F1144" s="303"/>
      <c r="G1144" s="303"/>
      <c r="J1144" s="303"/>
      <c r="K1144" s="324"/>
      <c r="L1144" s="303"/>
      <c r="M1144" s="303"/>
      <c r="N1144" s="303"/>
      <c r="O1144" s="303"/>
      <c r="P1144" s="303"/>
      <c r="Q1144" s="25"/>
      <c r="R1144" s="25"/>
      <c r="S1144" s="25"/>
      <c r="T1144" s="25"/>
      <c r="U1144" s="25"/>
    </row>
    <row r="1145" spans="6:21">
      <c r="F1145" s="303"/>
      <c r="G1145" s="303"/>
      <c r="J1145" s="303"/>
      <c r="K1145" s="324"/>
      <c r="L1145" s="303"/>
      <c r="M1145" s="303"/>
      <c r="N1145" s="303"/>
      <c r="O1145" s="303"/>
      <c r="P1145" s="303"/>
      <c r="Q1145" s="25"/>
      <c r="R1145" s="25"/>
      <c r="S1145" s="25"/>
      <c r="T1145" s="25"/>
      <c r="U1145" s="25"/>
    </row>
    <row r="1146" spans="6:21">
      <c r="F1146" s="303"/>
      <c r="G1146" s="303"/>
      <c r="J1146" s="303"/>
      <c r="K1146" s="324"/>
      <c r="L1146" s="303"/>
      <c r="M1146" s="303"/>
      <c r="N1146" s="303"/>
      <c r="O1146" s="303"/>
      <c r="P1146" s="303"/>
      <c r="Q1146" s="25"/>
      <c r="R1146" s="25"/>
      <c r="S1146" s="25"/>
      <c r="T1146" s="25"/>
      <c r="U1146" s="25"/>
    </row>
    <row r="1147" spans="6:21">
      <c r="F1147" s="303"/>
      <c r="G1147" s="303"/>
      <c r="J1147" s="303"/>
      <c r="K1147" s="324"/>
      <c r="L1147" s="303"/>
      <c r="M1147" s="303"/>
      <c r="N1147" s="303"/>
      <c r="O1147" s="303"/>
      <c r="P1147" s="303"/>
      <c r="Q1147" s="25"/>
      <c r="R1147" s="25"/>
      <c r="S1147" s="25"/>
      <c r="T1147" s="25"/>
      <c r="U1147" s="25"/>
    </row>
    <row r="1148" spans="6:21">
      <c r="F1148" s="303"/>
      <c r="G1148" s="303"/>
      <c r="J1148" s="303"/>
      <c r="K1148" s="324"/>
      <c r="L1148" s="303"/>
      <c r="M1148" s="303"/>
      <c r="N1148" s="303"/>
      <c r="O1148" s="303"/>
      <c r="P1148" s="303"/>
      <c r="Q1148" s="25"/>
      <c r="R1148" s="25"/>
      <c r="S1148" s="25"/>
      <c r="T1148" s="25"/>
      <c r="U1148" s="25"/>
    </row>
    <row r="1149" spans="6:21">
      <c r="F1149" s="303"/>
      <c r="G1149" s="303"/>
      <c r="J1149" s="303"/>
      <c r="K1149" s="324"/>
      <c r="L1149" s="303"/>
      <c r="M1149" s="303"/>
      <c r="N1149" s="303"/>
      <c r="O1149" s="303"/>
      <c r="P1149" s="303"/>
      <c r="Q1149" s="25"/>
      <c r="R1149" s="25"/>
      <c r="S1149" s="25"/>
      <c r="T1149" s="25"/>
      <c r="U1149" s="25"/>
    </row>
    <row r="1150" spans="6:21">
      <c r="F1150" s="303"/>
      <c r="G1150" s="303"/>
      <c r="J1150" s="303"/>
      <c r="K1150" s="324"/>
      <c r="L1150" s="303"/>
      <c r="M1150" s="303"/>
      <c r="N1150" s="303"/>
      <c r="O1150" s="303"/>
      <c r="P1150" s="303"/>
      <c r="Q1150" s="25"/>
      <c r="R1150" s="25"/>
      <c r="S1150" s="25"/>
      <c r="T1150" s="25"/>
      <c r="U1150" s="25"/>
    </row>
    <row r="1151" spans="6:21">
      <c r="F1151" s="303"/>
      <c r="G1151" s="303"/>
      <c r="J1151" s="303"/>
      <c r="K1151" s="324"/>
      <c r="L1151" s="303"/>
      <c r="M1151" s="303"/>
      <c r="N1151" s="303"/>
      <c r="O1151" s="303"/>
      <c r="P1151" s="303"/>
      <c r="Q1151" s="25"/>
      <c r="R1151" s="25"/>
      <c r="S1151" s="25"/>
      <c r="T1151" s="25"/>
      <c r="U1151" s="25"/>
    </row>
    <row r="1152" spans="6:21">
      <c r="F1152" s="303"/>
      <c r="G1152" s="303"/>
      <c r="J1152" s="303"/>
      <c r="K1152" s="324"/>
      <c r="L1152" s="303"/>
      <c r="M1152" s="303"/>
      <c r="N1152" s="303"/>
      <c r="O1152" s="303"/>
      <c r="P1152" s="303"/>
      <c r="Q1152" s="25"/>
      <c r="R1152" s="25"/>
      <c r="S1152" s="25"/>
      <c r="T1152" s="25"/>
      <c r="U1152" s="25"/>
    </row>
    <row r="1153" spans="6:21">
      <c r="F1153" s="303"/>
      <c r="G1153" s="303"/>
      <c r="J1153" s="303"/>
      <c r="K1153" s="324"/>
      <c r="L1153" s="303"/>
      <c r="M1153" s="303"/>
      <c r="N1153" s="303"/>
      <c r="O1153" s="303"/>
      <c r="P1153" s="303"/>
      <c r="Q1153" s="25"/>
      <c r="R1153" s="25"/>
      <c r="S1153" s="25"/>
      <c r="T1153" s="25"/>
      <c r="U1153" s="25"/>
    </row>
    <row r="1154" spans="6:21">
      <c r="F1154" s="303"/>
      <c r="G1154" s="303"/>
      <c r="J1154" s="303"/>
      <c r="K1154" s="324"/>
      <c r="L1154" s="303"/>
      <c r="M1154" s="303"/>
      <c r="N1154" s="303"/>
      <c r="O1154" s="303"/>
      <c r="P1154" s="303"/>
      <c r="Q1154" s="25"/>
      <c r="R1154" s="25"/>
      <c r="S1154" s="25"/>
      <c r="T1154" s="25"/>
      <c r="U1154" s="25"/>
    </row>
    <row r="1155" spans="6:21">
      <c r="F1155" s="303"/>
      <c r="G1155" s="303"/>
      <c r="J1155" s="303"/>
      <c r="K1155" s="324"/>
      <c r="L1155" s="303"/>
      <c r="M1155" s="303"/>
      <c r="N1155" s="303"/>
      <c r="O1155" s="303"/>
      <c r="P1155" s="303"/>
      <c r="Q1155" s="25"/>
      <c r="R1155" s="25"/>
      <c r="S1155" s="25"/>
      <c r="T1155" s="25"/>
      <c r="U1155" s="25"/>
    </row>
    <row r="1156" spans="6:21">
      <c r="F1156" s="303"/>
      <c r="G1156" s="303"/>
      <c r="J1156" s="303"/>
      <c r="K1156" s="324"/>
      <c r="L1156" s="303"/>
      <c r="M1156" s="303"/>
      <c r="N1156" s="303"/>
      <c r="O1156" s="303"/>
      <c r="P1156" s="303"/>
      <c r="Q1156" s="25"/>
      <c r="R1156" s="25"/>
      <c r="S1156" s="25"/>
      <c r="T1156" s="25"/>
      <c r="U1156" s="25"/>
    </row>
    <row r="1157" spans="6:21">
      <c r="F1157" s="303"/>
      <c r="G1157" s="303"/>
      <c r="J1157" s="303"/>
      <c r="K1157" s="324"/>
      <c r="L1157" s="303"/>
      <c r="M1157" s="303"/>
      <c r="N1157" s="303"/>
      <c r="O1157" s="303"/>
      <c r="P1157" s="303"/>
      <c r="Q1157" s="25"/>
      <c r="R1157" s="25"/>
      <c r="S1157" s="25"/>
      <c r="T1157" s="25"/>
      <c r="U1157" s="25"/>
    </row>
    <row r="1158" spans="6:21">
      <c r="F1158" s="303"/>
      <c r="G1158" s="303"/>
      <c r="J1158" s="303"/>
      <c r="K1158" s="324"/>
      <c r="L1158" s="303"/>
      <c r="M1158" s="303"/>
      <c r="N1158" s="303"/>
      <c r="O1158" s="303"/>
      <c r="P1158" s="303"/>
      <c r="Q1158" s="25"/>
      <c r="R1158" s="25"/>
      <c r="S1158" s="25"/>
      <c r="T1158" s="25"/>
      <c r="U1158" s="25"/>
    </row>
    <row r="1159" spans="6:21">
      <c r="F1159" s="303"/>
      <c r="G1159" s="303"/>
      <c r="J1159" s="303"/>
      <c r="K1159" s="324"/>
      <c r="L1159" s="303"/>
      <c r="M1159" s="303"/>
      <c r="N1159" s="303"/>
      <c r="O1159" s="303"/>
      <c r="P1159" s="303"/>
      <c r="Q1159" s="25"/>
      <c r="R1159" s="25"/>
      <c r="S1159" s="25"/>
      <c r="T1159" s="25"/>
      <c r="U1159" s="25"/>
    </row>
    <row r="1160" spans="6:21">
      <c r="F1160" s="303"/>
      <c r="G1160" s="303"/>
      <c r="J1160" s="303"/>
      <c r="K1160" s="324"/>
      <c r="L1160" s="303"/>
      <c r="M1160" s="303"/>
      <c r="N1160" s="303"/>
      <c r="O1160" s="303"/>
      <c r="P1160" s="303"/>
      <c r="Q1160" s="25"/>
      <c r="R1160" s="25"/>
      <c r="S1160" s="25"/>
      <c r="T1160" s="25"/>
      <c r="U1160" s="25"/>
    </row>
    <row r="1161" spans="6:21">
      <c r="F1161" s="303"/>
      <c r="G1161" s="303"/>
      <c r="J1161" s="303"/>
      <c r="K1161" s="324"/>
      <c r="L1161" s="303"/>
      <c r="M1161" s="303"/>
      <c r="N1161" s="303"/>
      <c r="O1161" s="303"/>
      <c r="P1161" s="303"/>
      <c r="Q1161" s="25"/>
      <c r="R1161" s="25"/>
      <c r="S1161" s="25"/>
      <c r="T1161" s="25"/>
      <c r="U1161" s="25"/>
    </row>
    <row r="1162" spans="6:21">
      <c r="F1162" s="303"/>
      <c r="G1162" s="303"/>
      <c r="J1162" s="303"/>
      <c r="K1162" s="324"/>
      <c r="L1162" s="303"/>
      <c r="M1162" s="303"/>
      <c r="N1162" s="303"/>
      <c r="O1162" s="303"/>
      <c r="P1162" s="303"/>
      <c r="Q1162" s="25"/>
      <c r="R1162" s="25"/>
      <c r="S1162" s="25"/>
      <c r="T1162" s="25"/>
      <c r="U1162" s="25"/>
    </row>
    <row r="1163" spans="6:21">
      <c r="F1163" s="303"/>
      <c r="G1163" s="303"/>
      <c r="J1163" s="303"/>
      <c r="K1163" s="324"/>
      <c r="L1163" s="303"/>
      <c r="M1163" s="303"/>
      <c r="N1163" s="303"/>
      <c r="O1163" s="303"/>
      <c r="P1163" s="303"/>
      <c r="Q1163" s="25"/>
      <c r="R1163" s="25"/>
      <c r="S1163" s="25"/>
      <c r="T1163" s="25"/>
      <c r="U1163" s="25"/>
    </row>
    <row r="1164" spans="6:21">
      <c r="F1164" s="303"/>
      <c r="G1164" s="303"/>
      <c r="J1164" s="303"/>
      <c r="K1164" s="324"/>
      <c r="L1164" s="303"/>
      <c r="M1164" s="303"/>
      <c r="N1164" s="303"/>
      <c r="O1164" s="303"/>
      <c r="P1164" s="303"/>
      <c r="Q1164" s="25"/>
      <c r="R1164" s="25"/>
      <c r="S1164" s="25"/>
      <c r="T1164" s="25"/>
      <c r="U1164" s="25"/>
    </row>
    <row r="1165" spans="6:21">
      <c r="F1165" s="303"/>
      <c r="G1165" s="303"/>
      <c r="J1165" s="303"/>
      <c r="K1165" s="324"/>
      <c r="L1165" s="303"/>
      <c r="M1165" s="303"/>
      <c r="N1165" s="303"/>
      <c r="O1165" s="303"/>
      <c r="P1165" s="303"/>
      <c r="Q1165" s="25"/>
      <c r="R1165" s="25"/>
      <c r="S1165" s="25"/>
      <c r="T1165" s="25"/>
      <c r="U1165" s="25"/>
    </row>
    <row r="1166" spans="6:21">
      <c r="F1166" s="303"/>
      <c r="G1166" s="303"/>
      <c r="J1166" s="303"/>
      <c r="K1166" s="324"/>
      <c r="L1166" s="303"/>
      <c r="M1166" s="303"/>
      <c r="N1166" s="303"/>
      <c r="O1166" s="303"/>
      <c r="P1166" s="303"/>
      <c r="Q1166" s="25"/>
      <c r="R1166" s="25"/>
      <c r="S1166" s="25"/>
      <c r="T1166" s="25"/>
      <c r="U1166" s="25"/>
    </row>
    <row r="1167" spans="6:21">
      <c r="F1167" s="303"/>
      <c r="G1167" s="303"/>
      <c r="J1167" s="303"/>
      <c r="K1167" s="324"/>
      <c r="L1167" s="303"/>
      <c r="M1167" s="303"/>
      <c r="N1167" s="303"/>
      <c r="O1167" s="303"/>
      <c r="P1167" s="303"/>
      <c r="Q1167" s="25"/>
      <c r="R1167" s="25"/>
      <c r="S1167" s="25"/>
      <c r="T1167" s="25"/>
      <c r="U1167" s="25"/>
    </row>
    <row r="1168" spans="6:21">
      <c r="F1168" s="303"/>
      <c r="G1168" s="303"/>
      <c r="J1168" s="303"/>
      <c r="K1168" s="324"/>
      <c r="L1168" s="303"/>
      <c r="M1168" s="303"/>
      <c r="N1168" s="303"/>
      <c r="O1168" s="303"/>
      <c r="P1168" s="303"/>
      <c r="Q1168" s="25"/>
      <c r="R1168" s="25"/>
      <c r="S1168" s="25"/>
      <c r="T1168" s="25"/>
      <c r="U1168" s="25"/>
    </row>
    <row r="1169" spans="6:21">
      <c r="F1169" s="303"/>
      <c r="G1169" s="303"/>
      <c r="J1169" s="303"/>
      <c r="K1169" s="324"/>
      <c r="L1169" s="303"/>
      <c r="M1169" s="303"/>
      <c r="N1169" s="303"/>
      <c r="O1169" s="303"/>
      <c r="P1169" s="303"/>
      <c r="Q1169" s="25"/>
      <c r="R1169" s="25"/>
      <c r="S1169" s="25"/>
      <c r="T1169" s="25"/>
      <c r="U1169" s="25"/>
    </row>
    <row r="1170" spans="6:21">
      <c r="F1170" s="303"/>
      <c r="G1170" s="303"/>
      <c r="J1170" s="303"/>
      <c r="K1170" s="324"/>
      <c r="L1170" s="303"/>
      <c r="M1170" s="303"/>
      <c r="N1170" s="303"/>
      <c r="O1170" s="303"/>
      <c r="P1170" s="303"/>
      <c r="Q1170" s="25"/>
      <c r="R1170" s="25"/>
      <c r="S1170" s="25"/>
      <c r="T1170" s="25"/>
      <c r="U1170" s="25"/>
    </row>
    <row r="1171" spans="6:21">
      <c r="F1171" s="303"/>
      <c r="G1171" s="303"/>
      <c r="J1171" s="303"/>
      <c r="K1171" s="324"/>
      <c r="L1171" s="303"/>
      <c r="M1171" s="303"/>
      <c r="N1171" s="303"/>
      <c r="O1171" s="303"/>
      <c r="P1171" s="303"/>
      <c r="Q1171" s="25"/>
      <c r="R1171" s="25"/>
      <c r="S1171" s="25"/>
      <c r="T1171" s="25"/>
      <c r="U1171" s="25"/>
    </row>
    <row r="1172" spans="6:21">
      <c r="F1172" s="303"/>
      <c r="G1172" s="303"/>
      <c r="J1172" s="303"/>
      <c r="K1172" s="324"/>
      <c r="L1172" s="303"/>
      <c r="M1172" s="303"/>
      <c r="N1172" s="303"/>
      <c r="O1172" s="303"/>
      <c r="P1172" s="303"/>
      <c r="Q1172" s="25"/>
      <c r="R1172" s="25"/>
      <c r="S1172" s="25"/>
      <c r="T1172" s="25"/>
      <c r="U1172" s="25"/>
    </row>
    <row r="1173" spans="6:21">
      <c r="F1173" s="303"/>
      <c r="G1173" s="303"/>
      <c r="J1173" s="303"/>
      <c r="K1173" s="324"/>
      <c r="L1173" s="303"/>
      <c r="M1173" s="303"/>
      <c r="N1173" s="303"/>
      <c r="O1173" s="303"/>
      <c r="P1173" s="303"/>
      <c r="Q1173" s="25"/>
      <c r="R1173" s="25"/>
      <c r="S1173" s="25"/>
      <c r="T1173" s="25"/>
      <c r="U1173" s="25"/>
    </row>
    <row r="1174" spans="6:21">
      <c r="F1174" s="303"/>
      <c r="G1174" s="303"/>
      <c r="J1174" s="303"/>
      <c r="K1174" s="324"/>
      <c r="L1174" s="303"/>
      <c r="M1174" s="303"/>
      <c r="N1174" s="303"/>
      <c r="O1174" s="303"/>
      <c r="P1174" s="303"/>
      <c r="Q1174" s="25"/>
      <c r="R1174" s="25"/>
      <c r="S1174" s="25"/>
      <c r="T1174" s="25"/>
      <c r="U1174" s="25"/>
    </row>
    <row r="1175" spans="6:21">
      <c r="F1175" s="303"/>
      <c r="G1175" s="303"/>
      <c r="J1175" s="303"/>
      <c r="K1175" s="324"/>
      <c r="L1175" s="303"/>
      <c r="M1175" s="303"/>
      <c r="N1175" s="303"/>
      <c r="O1175" s="303"/>
      <c r="P1175" s="303"/>
      <c r="Q1175" s="25"/>
      <c r="R1175" s="25"/>
      <c r="S1175" s="25"/>
      <c r="T1175" s="25"/>
      <c r="U1175" s="25"/>
    </row>
    <row r="1176" spans="6:21">
      <c r="F1176" s="303"/>
      <c r="G1176" s="303"/>
      <c r="J1176" s="303"/>
      <c r="K1176" s="324"/>
      <c r="L1176" s="303"/>
      <c r="M1176" s="303"/>
      <c r="N1176" s="303"/>
      <c r="O1176" s="303"/>
      <c r="P1176" s="303"/>
      <c r="Q1176" s="25"/>
      <c r="R1176" s="25"/>
      <c r="S1176" s="25"/>
      <c r="T1176" s="25"/>
      <c r="U1176" s="25"/>
    </row>
    <row r="1177" spans="6:21">
      <c r="F1177" s="303"/>
      <c r="G1177" s="303"/>
      <c r="J1177" s="303"/>
      <c r="K1177" s="324"/>
      <c r="L1177" s="303"/>
      <c r="M1177" s="303"/>
      <c r="N1177" s="303"/>
      <c r="O1177" s="303"/>
      <c r="P1177" s="303"/>
      <c r="Q1177" s="25"/>
      <c r="R1177" s="25"/>
      <c r="S1177" s="25"/>
      <c r="T1177" s="25"/>
      <c r="U1177" s="25"/>
    </row>
    <row r="1178" spans="6:21">
      <c r="F1178" s="303"/>
      <c r="G1178" s="303"/>
      <c r="J1178" s="303"/>
      <c r="K1178" s="324"/>
      <c r="L1178" s="303"/>
      <c r="M1178" s="303"/>
      <c r="N1178" s="303"/>
      <c r="O1178" s="303"/>
      <c r="P1178" s="303"/>
      <c r="Q1178" s="25"/>
      <c r="R1178" s="25"/>
      <c r="S1178" s="25"/>
      <c r="T1178" s="25"/>
      <c r="U1178" s="25"/>
    </row>
    <row r="1179" spans="6:21">
      <c r="F1179" s="303"/>
      <c r="G1179" s="303"/>
      <c r="J1179" s="303"/>
      <c r="K1179" s="324"/>
      <c r="L1179" s="303"/>
      <c r="M1179" s="303"/>
      <c r="N1179" s="303"/>
      <c r="O1179" s="303"/>
      <c r="P1179" s="303"/>
      <c r="Q1179" s="25"/>
      <c r="R1179" s="25"/>
      <c r="S1179" s="25"/>
      <c r="T1179" s="25"/>
      <c r="U1179" s="25"/>
    </row>
    <row r="1180" spans="6:21">
      <c r="F1180" s="303"/>
      <c r="G1180" s="303"/>
      <c r="J1180" s="303"/>
      <c r="K1180" s="324"/>
      <c r="L1180" s="303"/>
      <c r="M1180" s="303"/>
      <c r="N1180" s="303"/>
      <c r="O1180" s="303"/>
      <c r="P1180" s="303"/>
      <c r="Q1180" s="25"/>
      <c r="R1180" s="25"/>
      <c r="S1180" s="25"/>
      <c r="T1180" s="25"/>
      <c r="U1180" s="25"/>
    </row>
    <row r="1181" spans="6:21">
      <c r="F1181" s="303"/>
      <c r="G1181" s="303"/>
      <c r="J1181" s="303"/>
      <c r="K1181" s="324"/>
      <c r="L1181" s="303"/>
      <c r="M1181" s="303"/>
      <c r="N1181" s="303"/>
      <c r="O1181" s="303"/>
      <c r="P1181" s="303"/>
      <c r="Q1181" s="25"/>
      <c r="R1181" s="25"/>
      <c r="S1181" s="25"/>
      <c r="T1181" s="25"/>
      <c r="U1181" s="25"/>
    </row>
    <row r="1182" spans="6:21">
      <c r="F1182" s="303"/>
      <c r="G1182" s="303"/>
      <c r="J1182" s="303"/>
      <c r="K1182" s="324"/>
      <c r="L1182" s="303"/>
      <c r="M1182" s="303"/>
      <c r="N1182" s="303"/>
      <c r="O1182" s="303"/>
      <c r="P1182" s="303"/>
      <c r="Q1182" s="25"/>
      <c r="R1182" s="25"/>
      <c r="S1182" s="25"/>
      <c r="T1182" s="25"/>
      <c r="U1182" s="25"/>
    </row>
    <row r="1183" spans="6:21">
      <c r="F1183" s="303"/>
      <c r="G1183" s="303"/>
      <c r="J1183" s="303"/>
      <c r="K1183" s="324"/>
      <c r="L1183" s="303"/>
      <c r="M1183" s="303"/>
      <c r="N1183" s="303"/>
      <c r="O1183" s="303"/>
      <c r="P1183" s="303"/>
      <c r="Q1183" s="25"/>
      <c r="R1183" s="25"/>
      <c r="S1183" s="25"/>
      <c r="T1183" s="25"/>
      <c r="U1183" s="25"/>
    </row>
    <row r="1184" spans="6:21">
      <c r="F1184" s="303"/>
      <c r="G1184" s="303"/>
      <c r="J1184" s="303"/>
      <c r="K1184" s="324"/>
      <c r="L1184" s="303"/>
      <c r="M1184" s="303"/>
      <c r="N1184" s="303"/>
      <c r="O1184" s="303"/>
      <c r="P1184" s="303"/>
      <c r="Q1184" s="25"/>
      <c r="R1184" s="25"/>
      <c r="S1184" s="25"/>
      <c r="T1184" s="25"/>
      <c r="U1184" s="25"/>
    </row>
    <row r="1185" spans="6:21">
      <c r="F1185" s="303"/>
      <c r="G1185" s="303"/>
      <c r="J1185" s="303"/>
      <c r="K1185" s="324"/>
      <c r="L1185" s="303"/>
      <c r="M1185" s="303"/>
      <c r="N1185" s="303"/>
      <c r="O1185" s="303"/>
      <c r="P1185" s="303"/>
      <c r="Q1185" s="25"/>
      <c r="R1185" s="25"/>
      <c r="S1185" s="25"/>
      <c r="T1185" s="25"/>
      <c r="U1185" s="25"/>
    </row>
    <row r="1186" spans="6:21">
      <c r="F1186" s="303"/>
      <c r="G1186" s="303"/>
      <c r="J1186" s="303"/>
      <c r="K1186" s="324"/>
      <c r="L1186" s="303"/>
      <c r="M1186" s="303"/>
      <c r="N1186" s="303"/>
      <c r="O1186" s="303"/>
      <c r="P1186" s="303"/>
      <c r="Q1186" s="25"/>
      <c r="R1186" s="25"/>
      <c r="S1186" s="25"/>
      <c r="T1186" s="25"/>
      <c r="U1186" s="25"/>
    </row>
    <row r="1187" spans="6:21">
      <c r="F1187" s="303"/>
      <c r="G1187" s="303"/>
      <c r="J1187" s="303"/>
      <c r="K1187" s="324"/>
      <c r="L1187" s="303"/>
      <c r="M1187" s="303"/>
      <c r="N1187" s="303"/>
      <c r="O1187" s="303"/>
      <c r="P1187" s="303"/>
      <c r="Q1187" s="25"/>
      <c r="R1187" s="25"/>
      <c r="S1187" s="25"/>
      <c r="T1187" s="25"/>
      <c r="U1187" s="25"/>
    </row>
    <row r="1188" spans="6:21">
      <c r="F1188" s="303"/>
      <c r="G1188" s="303"/>
      <c r="J1188" s="303"/>
      <c r="K1188" s="324"/>
      <c r="L1188" s="303"/>
      <c r="M1188" s="303"/>
      <c r="N1188" s="303"/>
      <c r="O1188" s="303"/>
      <c r="P1188" s="303"/>
      <c r="Q1188" s="25"/>
      <c r="R1188" s="25"/>
      <c r="S1188" s="25"/>
      <c r="T1188" s="25"/>
      <c r="U1188" s="25"/>
    </row>
    <row r="1189" spans="6:21">
      <c r="F1189" s="303"/>
      <c r="G1189" s="303"/>
      <c r="J1189" s="303"/>
      <c r="K1189" s="324"/>
      <c r="L1189" s="303"/>
      <c r="M1189" s="303"/>
      <c r="N1189" s="303"/>
      <c r="O1189" s="303"/>
      <c r="P1189" s="303"/>
      <c r="Q1189" s="25"/>
      <c r="R1189" s="25"/>
      <c r="S1189" s="25"/>
      <c r="T1189" s="25"/>
      <c r="U1189" s="25"/>
    </row>
    <row r="1190" spans="6:21">
      <c r="F1190" s="303"/>
      <c r="G1190" s="303"/>
      <c r="J1190" s="303"/>
      <c r="K1190" s="324"/>
      <c r="L1190" s="303"/>
      <c r="M1190" s="303"/>
      <c r="N1190" s="303"/>
      <c r="O1190" s="303"/>
      <c r="P1190" s="303"/>
      <c r="Q1190" s="25"/>
      <c r="R1190" s="25"/>
      <c r="S1190" s="25"/>
      <c r="T1190" s="25"/>
      <c r="U1190" s="25"/>
    </row>
    <row r="1191" spans="6:21">
      <c r="F1191" s="303"/>
      <c r="G1191" s="303"/>
      <c r="J1191" s="303"/>
      <c r="K1191" s="324"/>
      <c r="L1191" s="303"/>
      <c r="M1191" s="303"/>
      <c r="N1191" s="303"/>
      <c r="O1191" s="303"/>
      <c r="P1191" s="303"/>
      <c r="Q1191" s="25"/>
      <c r="R1191" s="25"/>
      <c r="S1191" s="25"/>
      <c r="T1191" s="25"/>
      <c r="U1191" s="25"/>
    </row>
    <row r="1192" spans="6:21">
      <c r="F1192" s="303"/>
      <c r="G1192" s="303"/>
      <c r="J1192" s="303"/>
      <c r="K1192" s="324"/>
      <c r="L1192" s="303"/>
      <c r="M1192" s="303"/>
      <c r="N1192" s="303"/>
      <c r="O1192" s="303"/>
      <c r="P1192" s="303"/>
      <c r="Q1192" s="25"/>
      <c r="R1192" s="25"/>
      <c r="S1192" s="25"/>
      <c r="T1192" s="25"/>
      <c r="U1192" s="25"/>
    </row>
    <row r="1193" spans="6:21">
      <c r="F1193" s="303"/>
      <c r="G1193" s="303"/>
      <c r="J1193" s="303"/>
      <c r="K1193" s="324"/>
      <c r="L1193" s="303"/>
      <c r="M1193" s="303"/>
      <c r="N1193" s="303"/>
      <c r="O1193" s="303"/>
      <c r="P1193" s="303"/>
      <c r="Q1193" s="25"/>
      <c r="R1193" s="25"/>
      <c r="S1193" s="25"/>
      <c r="T1193" s="25"/>
      <c r="U1193" s="25"/>
    </row>
    <row r="1194" spans="6:21">
      <c r="F1194" s="303"/>
      <c r="G1194" s="303"/>
      <c r="J1194" s="303"/>
      <c r="K1194" s="324"/>
      <c r="L1194" s="303"/>
      <c r="M1194" s="303"/>
      <c r="N1194" s="303"/>
      <c r="O1194" s="303"/>
      <c r="P1194" s="303"/>
      <c r="Q1194" s="25"/>
      <c r="R1194" s="25"/>
      <c r="S1194" s="25"/>
      <c r="T1194" s="25"/>
      <c r="U1194" s="25"/>
    </row>
    <row r="1195" spans="6:21">
      <c r="F1195" s="303"/>
      <c r="G1195" s="303"/>
      <c r="J1195" s="303"/>
      <c r="K1195" s="324"/>
      <c r="L1195" s="303"/>
      <c r="M1195" s="303"/>
      <c r="N1195" s="303"/>
      <c r="O1195" s="303"/>
      <c r="P1195" s="303"/>
      <c r="Q1195" s="25"/>
      <c r="R1195" s="25"/>
      <c r="S1195" s="25"/>
      <c r="T1195" s="25"/>
      <c r="U1195" s="25"/>
    </row>
    <row r="1196" spans="6:21">
      <c r="F1196" s="303"/>
      <c r="G1196" s="303"/>
      <c r="J1196" s="303"/>
      <c r="K1196" s="324"/>
      <c r="L1196" s="303"/>
      <c r="M1196" s="303"/>
      <c r="N1196" s="303"/>
      <c r="O1196" s="303"/>
      <c r="P1196" s="303"/>
      <c r="Q1196" s="25"/>
      <c r="R1196" s="25"/>
      <c r="S1196" s="25"/>
      <c r="T1196" s="25"/>
      <c r="U1196" s="25"/>
    </row>
    <row r="1197" spans="6:21">
      <c r="F1197" s="303"/>
      <c r="G1197" s="303"/>
      <c r="J1197" s="303"/>
      <c r="K1197" s="324"/>
      <c r="L1197" s="303"/>
      <c r="M1197" s="303"/>
      <c r="N1197" s="303"/>
      <c r="O1197" s="303"/>
      <c r="P1197" s="303"/>
      <c r="Q1197" s="25"/>
      <c r="R1197" s="25"/>
      <c r="S1197" s="25"/>
      <c r="T1197" s="25"/>
      <c r="U1197" s="25"/>
    </row>
    <row r="1198" spans="6:21">
      <c r="F1198" s="303"/>
      <c r="G1198" s="303"/>
      <c r="J1198" s="303"/>
      <c r="K1198" s="324"/>
      <c r="L1198" s="303"/>
      <c r="M1198" s="303"/>
      <c r="N1198" s="303"/>
      <c r="O1198" s="303"/>
      <c r="P1198" s="303"/>
      <c r="Q1198" s="25"/>
      <c r="R1198" s="25"/>
      <c r="S1198" s="25"/>
      <c r="T1198" s="25"/>
      <c r="U1198" s="25"/>
    </row>
    <row r="1199" spans="6:21">
      <c r="F1199" s="303"/>
      <c r="G1199" s="303"/>
      <c r="J1199" s="303"/>
      <c r="K1199" s="324"/>
      <c r="L1199" s="303"/>
      <c r="M1199" s="303"/>
      <c r="N1199" s="303"/>
      <c r="O1199" s="303"/>
      <c r="P1199" s="303"/>
      <c r="Q1199" s="25"/>
      <c r="R1199" s="25"/>
      <c r="S1199" s="25"/>
      <c r="T1199" s="25"/>
      <c r="U1199" s="25"/>
    </row>
    <row r="1200" spans="6:21">
      <c r="F1200" s="303"/>
      <c r="G1200" s="303"/>
      <c r="J1200" s="303"/>
      <c r="K1200" s="324"/>
      <c r="L1200" s="303"/>
      <c r="M1200" s="303"/>
      <c r="N1200" s="303"/>
      <c r="O1200" s="303"/>
      <c r="P1200" s="303"/>
      <c r="Q1200" s="25"/>
      <c r="R1200" s="25"/>
      <c r="S1200" s="25"/>
      <c r="T1200" s="25"/>
      <c r="U1200" s="25"/>
    </row>
    <row r="1201" spans="6:21">
      <c r="F1201" s="303"/>
      <c r="G1201" s="303"/>
      <c r="J1201" s="303"/>
      <c r="K1201" s="324"/>
      <c r="L1201" s="303"/>
      <c r="M1201" s="303"/>
      <c r="N1201" s="303"/>
      <c r="O1201" s="303"/>
      <c r="P1201" s="303"/>
      <c r="Q1201" s="25"/>
      <c r="R1201" s="25"/>
      <c r="S1201" s="25"/>
      <c r="T1201" s="25"/>
      <c r="U1201" s="25"/>
    </row>
    <row r="1202" spans="6:21">
      <c r="F1202" s="303"/>
      <c r="G1202" s="303"/>
      <c r="J1202" s="303"/>
      <c r="K1202" s="324"/>
      <c r="L1202" s="303"/>
      <c r="M1202" s="303"/>
      <c r="N1202" s="303"/>
      <c r="O1202" s="303"/>
      <c r="P1202" s="303"/>
      <c r="Q1202" s="25"/>
      <c r="R1202" s="25"/>
      <c r="S1202" s="25"/>
      <c r="T1202" s="25"/>
      <c r="U1202" s="25"/>
    </row>
    <row r="1203" spans="6:21">
      <c r="F1203" s="303"/>
      <c r="G1203" s="303"/>
      <c r="J1203" s="303"/>
      <c r="K1203" s="324"/>
      <c r="L1203" s="303"/>
      <c r="M1203" s="303"/>
      <c r="N1203" s="303"/>
      <c r="O1203" s="303"/>
      <c r="P1203" s="303"/>
      <c r="Q1203" s="25"/>
      <c r="R1203" s="25"/>
      <c r="S1203" s="25"/>
      <c r="T1203" s="25"/>
      <c r="U1203" s="25"/>
    </row>
    <row r="1204" spans="6:21">
      <c r="F1204" s="303"/>
      <c r="G1204" s="303"/>
      <c r="J1204" s="303"/>
      <c r="K1204" s="324"/>
      <c r="L1204" s="303"/>
      <c r="M1204" s="303"/>
      <c r="N1204" s="303"/>
      <c r="O1204" s="303"/>
      <c r="P1204" s="303"/>
      <c r="Q1204" s="25"/>
      <c r="R1204" s="25"/>
      <c r="S1204" s="25"/>
      <c r="T1204" s="25"/>
      <c r="U1204" s="25"/>
    </row>
    <row r="1205" spans="6:21">
      <c r="F1205" s="303"/>
      <c r="G1205" s="303"/>
      <c r="J1205" s="303"/>
      <c r="K1205" s="324"/>
      <c r="L1205" s="303"/>
      <c r="M1205" s="303"/>
      <c r="N1205" s="303"/>
      <c r="O1205" s="303"/>
      <c r="P1205" s="303"/>
      <c r="Q1205" s="25"/>
      <c r="R1205" s="25"/>
      <c r="S1205" s="25"/>
      <c r="T1205" s="25"/>
      <c r="U1205" s="25"/>
    </row>
    <row r="1206" spans="6:21">
      <c r="F1206" s="303"/>
      <c r="G1206" s="303"/>
      <c r="J1206" s="303"/>
      <c r="K1206" s="324"/>
      <c r="L1206" s="303"/>
      <c r="M1206" s="303"/>
      <c r="N1206" s="303"/>
      <c r="O1206" s="303"/>
      <c r="P1206" s="303"/>
      <c r="Q1206" s="25"/>
      <c r="R1206" s="25"/>
      <c r="S1206" s="25"/>
      <c r="T1206" s="25"/>
      <c r="U1206" s="25"/>
    </row>
    <row r="1207" spans="6:21">
      <c r="F1207" s="303"/>
      <c r="G1207" s="303"/>
      <c r="J1207" s="303"/>
      <c r="K1207" s="324"/>
      <c r="L1207" s="303"/>
      <c r="M1207" s="303"/>
      <c r="N1207" s="303"/>
      <c r="O1207" s="303"/>
      <c r="P1207" s="303"/>
      <c r="Q1207" s="25"/>
      <c r="R1207" s="25"/>
      <c r="S1207" s="25"/>
      <c r="T1207" s="25"/>
      <c r="U1207" s="25"/>
    </row>
    <row r="1208" spans="6:21">
      <c r="F1208" s="303"/>
      <c r="G1208" s="303"/>
      <c r="J1208" s="303"/>
      <c r="K1208" s="324"/>
      <c r="L1208" s="303"/>
      <c r="M1208" s="303"/>
      <c r="N1208" s="303"/>
      <c r="O1208" s="303"/>
      <c r="P1208" s="303"/>
      <c r="Q1208" s="25"/>
      <c r="R1208" s="25"/>
      <c r="S1208" s="25"/>
      <c r="T1208" s="25"/>
      <c r="U1208" s="25"/>
    </row>
    <row r="1209" spans="6:21">
      <c r="F1209" s="303"/>
      <c r="G1209" s="303"/>
      <c r="J1209" s="303"/>
      <c r="K1209" s="324"/>
      <c r="L1209" s="303"/>
      <c r="M1209" s="303"/>
      <c r="N1209" s="303"/>
      <c r="O1209" s="303"/>
      <c r="P1209" s="303"/>
      <c r="Q1209" s="25"/>
      <c r="R1209" s="25"/>
      <c r="S1209" s="25"/>
      <c r="T1209" s="25"/>
      <c r="U1209" s="25"/>
    </row>
    <row r="1210" spans="6:21">
      <c r="F1210" s="303"/>
      <c r="G1210" s="303"/>
      <c r="J1210" s="303"/>
      <c r="K1210" s="324"/>
      <c r="L1210" s="303"/>
      <c r="M1210" s="303"/>
      <c r="N1210" s="303"/>
      <c r="O1210" s="303"/>
      <c r="P1210" s="303"/>
      <c r="Q1210" s="25"/>
      <c r="R1210" s="25"/>
      <c r="S1210" s="25"/>
      <c r="T1210" s="25"/>
      <c r="U1210" s="25"/>
    </row>
    <row r="1211" spans="6:21">
      <c r="F1211" s="303"/>
      <c r="G1211" s="303"/>
      <c r="J1211" s="303"/>
      <c r="K1211" s="324"/>
      <c r="L1211" s="303"/>
      <c r="M1211" s="303"/>
      <c r="N1211" s="303"/>
      <c r="O1211" s="303"/>
      <c r="P1211" s="303"/>
      <c r="Q1211" s="25"/>
      <c r="R1211" s="25"/>
      <c r="S1211" s="25"/>
      <c r="T1211" s="25"/>
      <c r="U1211" s="25"/>
    </row>
    <row r="1212" spans="6:21">
      <c r="F1212" s="303"/>
      <c r="G1212" s="303"/>
      <c r="J1212" s="303"/>
      <c r="K1212" s="324"/>
      <c r="L1212" s="303"/>
      <c r="M1212" s="303"/>
      <c r="N1212" s="303"/>
      <c r="O1212" s="303"/>
      <c r="P1212" s="303"/>
      <c r="Q1212" s="25"/>
      <c r="R1212" s="25"/>
      <c r="S1212" s="25"/>
      <c r="T1212" s="25"/>
      <c r="U1212" s="25"/>
    </row>
    <row r="1213" spans="6:21">
      <c r="F1213" s="303"/>
      <c r="G1213" s="303"/>
      <c r="J1213" s="303"/>
      <c r="K1213" s="324"/>
      <c r="L1213" s="303"/>
      <c r="M1213" s="303"/>
      <c r="N1213" s="303"/>
      <c r="O1213" s="303"/>
      <c r="P1213" s="303"/>
      <c r="Q1213" s="25"/>
      <c r="R1213" s="25"/>
      <c r="S1213" s="25"/>
      <c r="T1213" s="25"/>
      <c r="U1213" s="25"/>
    </row>
    <row r="1214" spans="6:21">
      <c r="F1214" s="303"/>
      <c r="G1214" s="303"/>
      <c r="J1214" s="303"/>
      <c r="K1214" s="324"/>
      <c r="L1214" s="303"/>
      <c r="M1214" s="303"/>
      <c r="N1214" s="303"/>
      <c r="O1214" s="303"/>
      <c r="P1214" s="303"/>
      <c r="Q1214" s="25"/>
      <c r="R1214" s="25"/>
      <c r="S1214" s="25"/>
      <c r="T1214" s="25"/>
      <c r="U1214" s="25"/>
    </row>
    <row r="1215" spans="6:21">
      <c r="F1215" s="303"/>
      <c r="G1215" s="303"/>
      <c r="J1215" s="303"/>
      <c r="K1215" s="324"/>
      <c r="L1215" s="303"/>
      <c r="M1215" s="303"/>
      <c r="N1215" s="303"/>
      <c r="O1215" s="303"/>
      <c r="P1215" s="303"/>
      <c r="Q1215" s="25"/>
      <c r="R1215" s="25"/>
      <c r="S1215" s="25"/>
      <c r="T1215" s="25"/>
      <c r="U1215" s="25"/>
    </row>
    <row r="1216" spans="6:21">
      <c r="F1216" s="303"/>
      <c r="G1216" s="303"/>
      <c r="J1216" s="303"/>
      <c r="K1216" s="324"/>
      <c r="L1216" s="303"/>
      <c r="M1216" s="303"/>
      <c r="N1216" s="303"/>
      <c r="O1216" s="303"/>
      <c r="P1216" s="303"/>
      <c r="Q1216" s="25"/>
      <c r="R1216" s="25"/>
      <c r="S1216" s="25"/>
      <c r="T1216" s="25"/>
      <c r="U1216" s="25"/>
    </row>
    <row r="1217" spans="6:21">
      <c r="F1217" s="303"/>
      <c r="G1217" s="303"/>
      <c r="J1217" s="303"/>
      <c r="K1217" s="324"/>
      <c r="L1217" s="303"/>
      <c r="M1217" s="303"/>
      <c r="N1217" s="303"/>
      <c r="O1217" s="303"/>
      <c r="P1217" s="303"/>
      <c r="Q1217" s="25"/>
      <c r="R1217" s="25"/>
      <c r="S1217" s="25"/>
      <c r="T1217" s="25"/>
      <c r="U1217" s="25"/>
    </row>
    <row r="1218" spans="6:21">
      <c r="F1218" s="303"/>
      <c r="G1218" s="303"/>
      <c r="J1218" s="303"/>
      <c r="K1218" s="324"/>
      <c r="L1218" s="303"/>
      <c r="M1218" s="303"/>
      <c r="N1218" s="303"/>
      <c r="O1218" s="303"/>
      <c r="P1218" s="303"/>
      <c r="Q1218" s="25"/>
      <c r="R1218" s="25"/>
      <c r="S1218" s="25"/>
      <c r="T1218" s="25"/>
      <c r="U1218" s="25"/>
    </row>
    <row r="1219" spans="6:21">
      <c r="F1219" s="303"/>
      <c r="G1219" s="303"/>
      <c r="J1219" s="303"/>
      <c r="K1219" s="324"/>
      <c r="L1219" s="303"/>
      <c r="M1219" s="303"/>
      <c r="N1219" s="303"/>
      <c r="O1219" s="303"/>
      <c r="P1219" s="303"/>
      <c r="Q1219" s="25"/>
      <c r="R1219" s="25"/>
      <c r="S1219" s="25"/>
      <c r="T1219" s="25"/>
      <c r="U1219" s="25"/>
    </row>
    <row r="1220" spans="6:21">
      <c r="F1220" s="303"/>
      <c r="G1220" s="303"/>
      <c r="J1220" s="303"/>
      <c r="K1220" s="324"/>
      <c r="L1220" s="303"/>
      <c r="M1220" s="303"/>
      <c r="N1220" s="303"/>
      <c r="O1220" s="303"/>
      <c r="P1220" s="303"/>
      <c r="Q1220" s="25"/>
      <c r="R1220" s="25"/>
      <c r="S1220" s="25"/>
      <c r="T1220" s="25"/>
      <c r="U1220" s="25"/>
    </row>
    <row r="1221" spans="6:21">
      <c r="F1221" s="303"/>
      <c r="G1221" s="303"/>
      <c r="J1221" s="303"/>
      <c r="K1221" s="324"/>
      <c r="L1221" s="303"/>
      <c r="M1221" s="303"/>
      <c r="N1221" s="303"/>
      <c r="O1221" s="303"/>
      <c r="P1221" s="303"/>
      <c r="Q1221" s="25"/>
      <c r="R1221" s="25"/>
      <c r="S1221" s="25"/>
      <c r="T1221" s="25"/>
      <c r="U1221" s="25"/>
    </row>
    <row r="1222" spans="6:21">
      <c r="F1222" s="303"/>
      <c r="G1222" s="303"/>
      <c r="J1222" s="303"/>
      <c r="K1222" s="324"/>
      <c r="L1222" s="303"/>
      <c r="M1222" s="303"/>
      <c r="N1222" s="303"/>
      <c r="O1222" s="303"/>
      <c r="P1222" s="303"/>
      <c r="Q1222" s="25"/>
      <c r="R1222" s="25"/>
      <c r="S1222" s="25"/>
      <c r="T1222" s="25"/>
      <c r="U1222" s="25"/>
    </row>
    <row r="1223" spans="6:21">
      <c r="F1223" s="303"/>
      <c r="G1223" s="303"/>
      <c r="J1223" s="303"/>
      <c r="K1223" s="324"/>
      <c r="L1223" s="303"/>
      <c r="M1223" s="303"/>
      <c r="N1223" s="303"/>
      <c r="O1223" s="303"/>
      <c r="P1223" s="303"/>
      <c r="Q1223" s="25"/>
      <c r="R1223" s="25"/>
      <c r="S1223" s="25"/>
      <c r="T1223" s="25"/>
      <c r="U1223" s="25"/>
    </row>
    <row r="1224" spans="6:21">
      <c r="F1224" s="303"/>
      <c r="G1224" s="303"/>
      <c r="J1224" s="303"/>
      <c r="K1224" s="324"/>
      <c r="L1224" s="303"/>
      <c r="M1224" s="303"/>
      <c r="N1224" s="303"/>
      <c r="O1224" s="303"/>
      <c r="P1224" s="303"/>
      <c r="Q1224" s="25"/>
      <c r="R1224" s="25"/>
      <c r="S1224" s="25"/>
      <c r="T1224" s="25"/>
      <c r="U1224" s="25"/>
    </row>
    <row r="1225" spans="6:21">
      <c r="F1225" s="303"/>
      <c r="G1225" s="303"/>
      <c r="J1225" s="303"/>
      <c r="K1225" s="324"/>
      <c r="L1225" s="303"/>
      <c r="M1225" s="303"/>
      <c r="N1225" s="303"/>
      <c r="O1225" s="303"/>
      <c r="P1225" s="303"/>
      <c r="Q1225" s="25"/>
      <c r="R1225" s="25"/>
      <c r="S1225" s="25"/>
      <c r="T1225" s="25"/>
      <c r="U1225" s="25"/>
    </row>
    <row r="1226" spans="6:21">
      <c r="F1226" s="303"/>
      <c r="G1226" s="303"/>
      <c r="J1226" s="303"/>
      <c r="K1226" s="324"/>
      <c r="L1226" s="303"/>
      <c r="M1226" s="303"/>
      <c r="N1226" s="303"/>
      <c r="O1226" s="303"/>
      <c r="P1226" s="303"/>
      <c r="Q1226" s="25"/>
      <c r="R1226" s="25"/>
      <c r="S1226" s="25"/>
      <c r="T1226" s="25"/>
      <c r="U1226" s="25"/>
    </row>
    <row r="1227" spans="6:21">
      <c r="F1227" s="303"/>
      <c r="G1227" s="303"/>
      <c r="J1227" s="303"/>
      <c r="K1227" s="324"/>
      <c r="L1227" s="303"/>
      <c r="M1227" s="303"/>
      <c r="N1227" s="303"/>
      <c r="O1227" s="303"/>
      <c r="P1227" s="303"/>
      <c r="Q1227" s="25"/>
      <c r="R1227" s="25"/>
      <c r="S1227" s="25"/>
      <c r="T1227" s="25"/>
      <c r="U1227" s="25"/>
    </row>
    <row r="1228" spans="6:21">
      <c r="F1228" s="303"/>
      <c r="G1228" s="303"/>
      <c r="J1228" s="303"/>
      <c r="K1228" s="324"/>
      <c r="L1228" s="303"/>
      <c r="M1228" s="303"/>
      <c r="N1228" s="303"/>
      <c r="O1228" s="303"/>
      <c r="P1228" s="303"/>
      <c r="Q1228" s="25"/>
      <c r="R1228" s="25"/>
      <c r="S1228" s="25"/>
      <c r="T1228" s="25"/>
      <c r="U1228" s="25"/>
    </row>
    <row r="1229" spans="6:21">
      <c r="F1229" s="303"/>
      <c r="G1229" s="303"/>
      <c r="J1229" s="303"/>
      <c r="K1229" s="324"/>
      <c r="L1229" s="303"/>
      <c r="M1229" s="303"/>
      <c r="N1229" s="303"/>
      <c r="O1229" s="303"/>
      <c r="P1229" s="303"/>
      <c r="Q1229" s="25"/>
      <c r="R1229" s="25"/>
      <c r="S1229" s="25"/>
      <c r="T1229" s="25"/>
      <c r="U1229" s="25"/>
    </row>
    <row r="1230" spans="6:21">
      <c r="F1230" s="303"/>
      <c r="G1230" s="303"/>
      <c r="J1230" s="303"/>
      <c r="K1230" s="324"/>
      <c r="L1230" s="303"/>
      <c r="M1230" s="303"/>
      <c r="N1230" s="303"/>
      <c r="O1230" s="303"/>
      <c r="P1230" s="303"/>
      <c r="Q1230" s="25"/>
      <c r="R1230" s="25"/>
      <c r="S1230" s="25"/>
      <c r="T1230" s="25"/>
      <c r="U1230" s="25"/>
    </row>
    <row r="1231" spans="6:21">
      <c r="F1231" s="303"/>
      <c r="G1231" s="303"/>
      <c r="J1231" s="303"/>
      <c r="K1231" s="324"/>
      <c r="L1231" s="303"/>
      <c r="M1231" s="303"/>
      <c r="N1231" s="303"/>
      <c r="O1231" s="303"/>
      <c r="P1231" s="303"/>
      <c r="Q1231" s="25"/>
      <c r="R1231" s="25"/>
      <c r="S1231" s="25"/>
      <c r="T1231" s="25"/>
      <c r="U1231" s="25"/>
    </row>
    <row r="1232" spans="6:21">
      <c r="F1232" s="303"/>
      <c r="G1232" s="303"/>
      <c r="J1232" s="303"/>
      <c r="K1232" s="324"/>
      <c r="L1232" s="303"/>
      <c r="M1232" s="303"/>
      <c r="N1232" s="303"/>
      <c r="O1232" s="303"/>
      <c r="P1232" s="303"/>
      <c r="Q1232" s="25"/>
      <c r="R1232" s="25"/>
      <c r="S1232" s="25"/>
      <c r="T1232" s="25"/>
      <c r="U1232" s="25"/>
    </row>
    <row r="1233" spans="6:21">
      <c r="F1233" s="303"/>
      <c r="G1233" s="303"/>
      <c r="J1233" s="303"/>
      <c r="K1233" s="324"/>
      <c r="L1233" s="303"/>
      <c r="M1233" s="303"/>
      <c r="N1233" s="303"/>
      <c r="O1233" s="303"/>
      <c r="P1233" s="303"/>
      <c r="Q1233" s="25"/>
      <c r="R1233" s="25"/>
      <c r="S1233" s="25"/>
      <c r="T1233" s="25"/>
      <c r="U1233" s="25"/>
    </row>
    <row r="1234" spans="6:21">
      <c r="F1234" s="303"/>
      <c r="G1234" s="303"/>
      <c r="J1234" s="303"/>
      <c r="K1234" s="324"/>
      <c r="L1234" s="303"/>
      <c r="M1234" s="303"/>
      <c r="N1234" s="303"/>
      <c r="O1234" s="303"/>
      <c r="P1234" s="303"/>
      <c r="Q1234" s="25"/>
      <c r="R1234" s="25"/>
      <c r="S1234" s="25"/>
      <c r="T1234" s="25"/>
      <c r="U1234" s="25"/>
    </row>
    <row r="1235" spans="6:21">
      <c r="F1235" s="303"/>
      <c r="G1235" s="303"/>
      <c r="J1235" s="303"/>
      <c r="K1235" s="324"/>
      <c r="L1235" s="303"/>
      <c r="M1235" s="303"/>
      <c r="N1235" s="303"/>
      <c r="O1235" s="303"/>
      <c r="P1235" s="303"/>
      <c r="Q1235" s="25"/>
      <c r="R1235" s="25"/>
      <c r="S1235" s="25"/>
      <c r="T1235" s="25"/>
      <c r="U1235" s="25"/>
    </row>
    <row r="1236" spans="6:21">
      <c r="F1236" s="303"/>
      <c r="G1236" s="303"/>
      <c r="J1236" s="303"/>
      <c r="K1236" s="324"/>
      <c r="L1236" s="303"/>
      <c r="M1236" s="303"/>
      <c r="N1236" s="303"/>
      <c r="O1236" s="303"/>
      <c r="P1236" s="303"/>
      <c r="Q1236" s="25"/>
      <c r="R1236" s="25"/>
      <c r="S1236" s="25"/>
      <c r="T1236" s="25"/>
      <c r="U1236" s="25"/>
    </row>
    <row r="1237" spans="6:21">
      <c r="F1237" s="303"/>
      <c r="G1237" s="303"/>
      <c r="J1237" s="303"/>
      <c r="K1237" s="324"/>
      <c r="L1237" s="303"/>
      <c r="M1237" s="303"/>
      <c r="N1237" s="303"/>
      <c r="O1237" s="303"/>
      <c r="P1237" s="303"/>
      <c r="Q1237" s="25"/>
      <c r="R1237" s="25"/>
      <c r="S1237" s="25"/>
      <c r="T1237" s="25"/>
      <c r="U1237" s="25"/>
    </row>
    <row r="1238" spans="6:21">
      <c r="F1238" s="303"/>
      <c r="G1238" s="303"/>
      <c r="J1238" s="303"/>
      <c r="K1238" s="324"/>
      <c r="L1238" s="303"/>
      <c r="M1238" s="303"/>
      <c r="N1238" s="303"/>
      <c r="O1238" s="303"/>
      <c r="P1238" s="303"/>
      <c r="Q1238" s="25"/>
      <c r="R1238" s="25"/>
      <c r="S1238" s="25"/>
      <c r="T1238" s="25"/>
      <c r="U1238" s="25"/>
    </row>
    <row r="1239" spans="6:21">
      <c r="F1239" s="303"/>
      <c r="G1239" s="303"/>
      <c r="J1239" s="303"/>
      <c r="K1239" s="324"/>
      <c r="L1239" s="303"/>
      <c r="M1239" s="303"/>
      <c r="N1239" s="303"/>
      <c r="O1239" s="303"/>
      <c r="P1239" s="303"/>
      <c r="Q1239" s="25"/>
      <c r="R1239" s="25"/>
      <c r="S1239" s="25"/>
      <c r="T1239" s="25"/>
      <c r="U1239" s="25"/>
    </row>
    <row r="1240" spans="6:21">
      <c r="F1240" s="303"/>
      <c r="G1240" s="303"/>
      <c r="J1240" s="303"/>
      <c r="K1240" s="324"/>
      <c r="L1240" s="303"/>
      <c r="M1240" s="303"/>
      <c r="N1240" s="303"/>
      <c r="O1240" s="303"/>
      <c r="P1240" s="303"/>
      <c r="Q1240" s="25"/>
      <c r="R1240" s="25"/>
      <c r="S1240" s="25"/>
      <c r="T1240" s="25"/>
      <c r="U1240" s="25"/>
    </row>
    <row r="1241" spans="6:21">
      <c r="F1241" s="303"/>
      <c r="G1241" s="303"/>
      <c r="J1241" s="303"/>
      <c r="K1241" s="324"/>
      <c r="L1241" s="303"/>
      <c r="M1241" s="303"/>
      <c r="N1241" s="303"/>
      <c r="O1241" s="303"/>
      <c r="P1241" s="303"/>
      <c r="Q1241" s="25"/>
      <c r="R1241" s="25"/>
      <c r="S1241" s="25"/>
      <c r="T1241" s="25"/>
      <c r="U1241" s="25"/>
    </row>
    <row r="1242" spans="6:21">
      <c r="F1242" s="303"/>
      <c r="G1242" s="303"/>
      <c r="J1242" s="303"/>
      <c r="K1242" s="324"/>
      <c r="L1242" s="303"/>
      <c r="M1242" s="303"/>
      <c r="N1242" s="303"/>
      <c r="O1242" s="303"/>
      <c r="P1242" s="303"/>
      <c r="Q1242" s="25"/>
      <c r="R1242" s="25"/>
      <c r="S1242" s="25"/>
      <c r="T1242" s="25"/>
      <c r="U1242" s="25"/>
    </row>
    <row r="1243" spans="6:21">
      <c r="F1243" s="303"/>
      <c r="G1243" s="303"/>
      <c r="J1243" s="303"/>
      <c r="K1243" s="324"/>
      <c r="L1243" s="303"/>
      <c r="M1243" s="303"/>
      <c r="N1243" s="303"/>
      <c r="O1243" s="303"/>
      <c r="P1243" s="303"/>
      <c r="Q1243" s="25"/>
      <c r="R1243" s="25"/>
      <c r="S1243" s="25"/>
      <c r="T1243" s="25"/>
      <c r="U1243" s="25"/>
    </row>
    <row r="1244" spans="6:21">
      <c r="F1244" s="303"/>
      <c r="G1244" s="303"/>
      <c r="J1244" s="303"/>
      <c r="K1244" s="324"/>
      <c r="L1244" s="303"/>
      <c r="M1244" s="303"/>
      <c r="N1244" s="303"/>
      <c r="O1244" s="303"/>
      <c r="P1244" s="303"/>
      <c r="Q1244" s="25"/>
      <c r="R1244" s="25"/>
      <c r="S1244" s="25"/>
      <c r="T1244" s="25"/>
      <c r="U1244" s="25"/>
    </row>
    <row r="1245" spans="6:21">
      <c r="F1245" s="303"/>
      <c r="G1245" s="303"/>
      <c r="J1245" s="303"/>
      <c r="K1245" s="324"/>
      <c r="L1245" s="303"/>
      <c r="M1245" s="303"/>
      <c r="N1245" s="303"/>
      <c r="O1245" s="303"/>
      <c r="P1245" s="303"/>
      <c r="Q1245" s="25"/>
      <c r="R1245" s="25"/>
      <c r="S1245" s="25"/>
      <c r="T1245" s="25"/>
      <c r="U1245" s="25"/>
    </row>
    <row r="1246" spans="6:21">
      <c r="F1246" s="303"/>
      <c r="G1246" s="303"/>
      <c r="J1246" s="303"/>
      <c r="K1246" s="324"/>
      <c r="L1246" s="303"/>
      <c r="M1246" s="303"/>
      <c r="N1246" s="303"/>
      <c r="O1246" s="303"/>
      <c r="P1246" s="303"/>
      <c r="Q1246" s="25"/>
      <c r="R1246" s="25"/>
      <c r="S1246" s="25"/>
      <c r="T1246" s="25"/>
      <c r="U1246" s="25"/>
    </row>
    <row r="1247" spans="6:21">
      <c r="F1247" s="303"/>
      <c r="G1247" s="303"/>
      <c r="J1247" s="303"/>
      <c r="K1247" s="324"/>
      <c r="L1247" s="303"/>
      <c r="M1247" s="303"/>
      <c r="N1247" s="303"/>
      <c r="O1247" s="303"/>
      <c r="P1247" s="303"/>
      <c r="Q1247" s="25"/>
      <c r="R1247" s="25"/>
      <c r="S1247" s="25"/>
      <c r="T1247" s="25"/>
      <c r="U1247" s="25"/>
    </row>
    <row r="1248" spans="6:21">
      <c r="F1248" s="303"/>
      <c r="G1248" s="303"/>
      <c r="J1248" s="303"/>
      <c r="K1248" s="324"/>
      <c r="L1248" s="303"/>
      <c r="M1248" s="303"/>
      <c r="N1248" s="303"/>
      <c r="O1248" s="303"/>
      <c r="P1248" s="303"/>
      <c r="Q1248" s="25"/>
      <c r="R1248" s="25"/>
      <c r="S1248" s="25"/>
      <c r="T1248" s="25"/>
      <c r="U1248" s="25"/>
    </row>
    <row r="1249" spans="6:21">
      <c r="F1249" s="303"/>
      <c r="G1249" s="303"/>
      <c r="J1249" s="303"/>
      <c r="K1249" s="324"/>
      <c r="L1249" s="303"/>
      <c r="M1249" s="303"/>
      <c r="N1249" s="303"/>
      <c r="O1249" s="303"/>
      <c r="P1249" s="303"/>
      <c r="Q1249" s="25"/>
      <c r="R1249" s="25"/>
      <c r="S1249" s="25"/>
      <c r="T1249" s="25"/>
      <c r="U1249" s="25"/>
    </row>
    <row r="1250" spans="6:21">
      <c r="F1250" s="303"/>
      <c r="G1250" s="303"/>
      <c r="J1250" s="303"/>
      <c r="K1250" s="324"/>
      <c r="L1250" s="303"/>
      <c r="M1250" s="303"/>
      <c r="N1250" s="303"/>
      <c r="O1250" s="303"/>
      <c r="P1250" s="303"/>
      <c r="Q1250" s="25"/>
      <c r="R1250" s="25"/>
      <c r="S1250" s="25"/>
      <c r="T1250" s="25"/>
      <c r="U1250" s="25"/>
    </row>
    <row r="1251" spans="6:21">
      <c r="F1251" s="303"/>
      <c r="G1251" s="303"/>
      <c r="J1251" s="303"/>
      <c r="K1251" s="324"/>
      <c r="L1251" s="303"/>
      <c r="M1251" s="303"/>
      <c r="N1251" s="303"/>
      <c r="O1251" s="303"/>
      <c r="P1251" s="303"/>
      <c r="Q1251" s="25"/>
      <c r="R1251" s="25"/>
      <c r="S1251" s="25"/>
      <c r="T1251" s="25"/>
      <c r="U1251" s="25"/>
    </row>
    <row r="1252" spans="6:21">
      <c r="F1252" s="303"/>
      <c r="G1252" s="303"/>
      <c r="J1252" s="303"/>
      <c r="K1252" s="324"/>
      <c r="L1252" s="303"/>
      <c r="M1252" s="303"/>
      <c r="N1252" s="303"/>
      <c r="O1252" s="303"/>
      <c r="P1252" s="303"/>
      <c r="Q1252" s="25"/>
      <c r="R1252" s="25"/>
      <c r="S1252" s="25"/>
      <c r="T1252" s="25"/>
      <c r="U1252" s="25"/>
    </row>
    <row r="1253" spans="6:21">
      <c r="F1253" s="303"/>
      <c r="G1253" s="303"/>
      <c r="J1253" s="303"/>
      <c r="K1253" s="324"/>
      <c r="L1253" s="303"/>
      <c r="M1253" s="303"/>
      <c r="N1253" s="303"/>
      <c r="O1253" s="303"/>
      <c r="P1253" s="303"/>
      <c r="Q1253" s="25"/>
      <c r="R1253" s="25"/>
      <c r="S1253" s="25"/>
      <c r="T1253" s="25"/>
      <c r="U1253" s="25"/>
    </row>
    <row r="1254" spans="6:21">
      <c r="F1254" s="303"/>
      <c r="G1254" s="303"/>
      <c r="J1254" s="303"/>
      <c r="K1254" s="324"/>
      <c r="L1254" s="303"/>
      <c r="M1254" s="303"/>
      <c r="N1254" s="303"/>
      <c r="O1254" s="303"/>
      <c r="P1254" s="303"/>
      <c r="Q1254" s="25"/>
      <c r="R1254" s="25"/>
      <c r="S1254" s="25"/>
      <c r="T1254" s="25"/>
      <c r="U1254" s="25"/>
    </row>
    <row r="1255" spans="6:21">
      <c r="F1255" s="303"/>
      <c r="G1255" s="303"/>
      <c r="J1255" s="303"/>
      <c r="K1255" s="324"/>
      <c r="L1255" s="303"/>
      <c r="M1255" s="303"/>
      <c r="N1255" s="303"/>
      <c r="O1255" s="303"/>
      <c r="P1255" s="303"/>
      <c r="Q1255" s="25"/>
      <c r="R1255" s="25"/>
      <c r="S1255" s="25"/>
      <c r="T1255" s="25"/>
      <c r="U1255" s="25"/>
    </row>
    <row r="1256" spans="6:21">
      <c r="F1256" s="303"/>
      <c r="G1256" s="303"/>
      <c r="J1256" s="303"/>
      <c r="K1256" s="324"/>
      <c r="L1256" s="303"/>
      <c r="M1256" s="303"/>
      <c r="N1256" s="303"/>
      <c r="O1256" s="303"/>
      <c r="P1256" s="303"/>
      <c r="Q1256" s="25"/>
      <c r="R1256" s="25"/>
      <c r="S1256" s="25"/>
      <c r="T1256" s="25"/>
      <c r="U1256" s="25"/>
    </row>
    <row r="1257" spans="6:21">
      <c r="F1257" s="303"/>
      <c r="G1257" s="303"/>
      <c r="J1257" s="303"/>
      <c r="K1257" s="324"/>
      <c r="L1257" s="303"/>
      <c r="M1257" s="303"/>
      <c r="N1257" s="303"/>
      <c r="O1257" s="303"/>
      <c r="P1257" s="303"/>
      <c r="Q1257" s="25"/>
      <c r="R1257" s="25"/>
      <c r="S1257" s="25"/>
      <c r="T1257" s="25"/>
      <c r="U1257" s="25"/>
    </row>
    <row r="1258" spans="6:21">
      <c r="F1258" s="303"/>
      <c r="G1258" s="303"/>
      <c r="J1258" s="303"/>
      <c r="K1258" s="324"/>
      <c r="L1258" s="303"/>
      <c r="M1258" s="303"/>
      <c r="N1258" s="303"/>
      <c r="O1258" s="303"/>
      <c r="P1258" s="303"/>
      <c r="Q1258" s="25"/>
      <c r="R1258" s="25"/>
      <c r="S1258" s="25"/>
      <c r="T1258" s="25"/>
      <c r="U1258" s="25"/>
    </row>
    <row r="1259" spans="6:21">
      <c r="F1259" s="303"/>
      <c r="G1259" s="303"/>
      <c r="J1259" s="303"/>
      <c r="K1259" s="324"/>
      <c r="L1259" s="303"/>
      <c r="M1259" s="303"/>
      <c r="N1259" s="303"/>
      <c r="O1259" s="303"/>
      <c r="P1259" s="303"/>
      <c r="Q1259" s="25"/>
      <c r="R1259" s="25"/>
      <c r="S1259" s="25"/>
      <c r="T1259" s="25"/>
      <c r="U1259" s="25"/>
    </row>
    <row r="1260" spans="6:21">
      <c r="F1260" s="303"/>
      <c r="G1260" s="303"/>
      <c r="J1260" s="303"/>
      <c r="K1260" s="324"/>
      <c r="L1260" s="303"/>
      <c r="M1260" s="303"/>
      <c r="N1260" s="303"/>
      <c r="O1260" s="303"/>
      <c r="P1260" s="303"/>
      <c r="Q1260" s="25"/>
      <c r="R1260" s="25"/>
      <c r="S1260" s="25"/>
      <c r="T1260" s="25"/>
      <c r="U1260" s="25"/>
    </row>
    <row r="1261" spans="6:21">
      <c r="F1261" s="303"/>
      <c r="G1261" s="303"/>
      <c r="J1261" s="303"/>
      <c r="K1261" s="324"/>
      <c r="L1261" s="303"/>
      <c r="M1261" s="303"/>
      <c r="N1261" s="303"/>
      <c r="O1261" s="303"/>
      <c r="P1261" s="303"/>
      <c r="Q1261" s="25"/>
      <c r="R1261" s="25"/>
      <c r="S1261" s="25"/>
      <c r="T1261" s="25"/>
      <c r="U1261" s="25"/>
    </row>
    <row r="1262" spans="6:21">
      <c r="F1262" s="303"/>
      <c r="G1262" s="303"/>
      <c r="J1262" s="303"/>
      <c r="K1262" s="324"/>
      <c r="L1262" s="303"/>
      <c r="M1262" s="303"/>
      <c r="N1262" s="303"/>
      <c r="O1262" s="303"/>
      <c r="P1262" s="303"/>
      <c r="Q1262" s="25"/>
      <c r="R1262" s="25"/>
      <c r="S1262" s="25"/>
      <c r="T1262" s="25"/>
      <c r="U1262" s="25"/>
    </row>
    <row r="1263" spans="6:21">
      <c r="F1263" s="303"/>
      <c r="G1263" s="303"/>
      <c r="J1263" s="303"/>
      <c r="K1263" s="324"/>
      <c r="L1263" s="303"/>
      <c r="M1263" s="303"/>
      <c r="N1263" s="303"/>
      <c r="O1263" s="303"/>
      <c r="P1263" s="303"/>
      <c r="Q1263" s="25"/>
      <c r="R1263" s="25"/>
      <c r="S1263" s="25"/>
      <c r="T1263" s="25"/>
      <c r="U1263" s="25"/>
    </row>
    <row r="1264" spans="6:21">
      <c r="F1264" s="303"/>
      <c r="G1264" s="303"/>
      <c r="J1264" s="303"/>
      <c r="K1264" s="324"/>
      <c r="L1264" s="303"/>
      <c r="M1264" s="303"/>
      <c r="N1264" s="303"/>
      <c r="O1264" s="303"/>
      <c r="P1264" s="303"/>
      <c r="Q1264" s="25"/>
      <c r="R1264" s="25"/>
      <c r="S1264" s="25"/>
      <c r="T1264" s="25"/>
      <c r="U1264" s="25"/>
    </row>
    <row r="1265" spans="6:21">
      <c r="F1265" s="303"/>
      <c r="G1265" s="303"/>
      <c r="J1265" s="303"/>
      <c r="K1265" s="324"/>
      <c r="L1265" s="303"/>
      <c r="M1265" s="303"/>
      <c r="N1265" s="303"/>
      <c r="O1265" s="303"/>
      <c r="P1265" s="303"/>
      <c r="Q1265" s="25"/>
      <c r="R1265" s="25"/>
      <c r="S1265" s="25"/>
      <c r="T1265" s="25"/>
      <c r="U1265" s="25"/>
    </row>
    <row r="1266" spans="6:21">
      <c r="F1266" s="303"/>
      <c r="G1266" s="303"/>
      <c r="J1266" s="303"/>
      <c r="K1266" s="324"/>
      <c r="L1266" s="303"/>
      <c r="M1266" s="303"/>
      <c r="N1266" s="303"/>
      <c r="O1266" s="303"/>
      <c r="P1266" s="303"/>
      <c r="Q1266" s="25"/>
      <c r="R1266" s="25"/>
      <c r="S1266" s="25"/>
      <c r="T1266" s="25"/>
      <c r="U1266" s="25"/>
    </row>
    <row r="1267" spans="6:21">
      <c r="F1267" s="303"/>
      <c r="G1267" s="303"/>
      <c r="J1267" s="303"/>
      <c r="K1267" s="324"/>
      <c r="L1267" s="303"/>
      <c r="M1267" s="303"/>
      <c r="N1267" s="303"/>
      <c r="O1267" s="303"/>
      <c r="P1267" s="303"/>
      <c r="Q1267" s="25"/>
      <c r="R1267" s="25"/>
      <c r="S1267" s="25"/>
      <c r="T1267" s="25"/>
      <c r="U1267" s="25"/>
    </row>
    <row r="1268" spans="6:21">
      <c r="F1268" s="303"/>
      <c r="G1268" s="303"/>
      <c r="J1268" s="303"/>
      <c r="K1268" s="324"/>
      <c r="L1268" s="303"/>
      <c r="M1268" s="303"/>
      <c r="N1268" s="303"/>
      <c r="O1268" s="303"/>
      <c r="P1268" s="303"/>
      <c r="Q1268" s="25"/>
      <c r="R1268" s="25"/>
      <c r="S1268" s="25"/>
      <c r="T1268" s="25"/>
      <c r="U1268" s="25"/>
    </row>
    <row r="1269" spans="6:21">
      <c r="F1269" s="303"/>
      <c r="G1269" s="303"/>
      <c r="J1269" s="303"/>
      <c r="K1269" s="324"/>
      <c r="L1269" s="303"/>
      <c r="M1269" s="303"/>
      <c r="N1269" s="303"/>
      <c r="O1269" s="303"/>
      <c r="P1269" s="303"/>
      <c r="Q1269" s="25"/>
      <c r="R1269" s="25"/>
      <c r="S1269" s="25"/>
      <c r="T1269" s="25"/>
      <c r="U1269" s="25"/>
    </row>
    <row r="1270" spans="6:21">
      <c r="F1270" s="303"/>
      <c r="G1270" s="303"/>
      <c r="J1270" s="303"/>
      <c r="K1270" s="324"/>
      <c r="L1270" s="303"/>
      <c r="M1270" s="303"/>
      <c r="N1270" s="303"/>
      <c r="O1270" s="303"/>
      <c r="P1270" s="303"/>
      <c r="Q1270" s="25"/>
      <c r="R1270" s="25"/>
      <c r="S1270" s="25"/>
      <c r="T1270" s="25"/>
      <c r="U1270" s="25"/>
    </row>
    <row r="1271" spans="6:21">
      <c r="F1271" s="303"/>
      <c r="G1271" s="303"/>
      <c r="J1271" s="303"/>
      <c r="K1271" s="324"/>
      <c r="L1271" s="303"/>
      <c r="M1271" s="303"/>
      <c r="N1271" s="303"/>
      <c r="O1271" s="303"/>
      <c r="P1271" s="303"/>
      <c r="Q1271" s="25"/>
      <c r="R1271" s="25"/>
      <c r="S1271" s="25"/>
      <c r="T1271" s="25"/>
      <c r="U1271" s="25"/>
    </row>
    <row r="1272" spans="6:21">
      <c r="F1272" s="303"/>
      <c r="G1272" s="303"/>
      <c r="J1272" s="303"/>
      <c r="K1272" s="324"/>
      <c r="L1272" s="303"/>
      <c r="M1272" s="303"/>
      <c r="N1272" s="303"/>
      <c r="O1272" s="303"/>
      <c r="P1272" s="303"/>
      <c r="Q1272" s="25"/>
      <c r="R1272" s="25"/>
      <c r="S1272" s="25"/>
      <c r="T1272" s="25"/>
      <c r="U1272" s="25"/>
    </row>
    <row r="1273" spans="6:21">
      <c r="F1273" s="303"/>
      <c r="G1273" s="303"/>
      <c r="J1273" s="303"/>
      <c r="K1273" s="324"/>
      <c r="L1273" s="303"/>
      <c r="M1273" s="303"/>
      <c r="N1273" s="303"/>
      <c r="O1273" s="303"/>
      <c r="P1273" s="303"/>
      <c r="Q1273" s="25"/>
      <c r="R1273" s="25"/>
      <c r="S1273" s="25"/>
      <c r="T1273" s="25"/>
      <c r="U1273" s="25"/>
    </row>
    <row r="1274" spans="6:21">
      <c r="F1274" s="303"/>
      <c r="G1274" s="303"/>
      <c r="J1274" s="303"/>
      <c r="K1274" s="324"/>
      <c r="L1274" s="303"/>
      <c r="M1274" s="303"/>
      <c r="N1274" s="303"/>
      <c r="O1274" s="303"/>
      <c r="P1274" s="303"/>
      <c r="Q1274" s="25"/>
      <c r="R1274" s="25"/>
      <c r="S1274" s="25"/>
      <c r="T1274" s="25"/>
      <c r="U1274" s="25"/>
    </row>
    <row r="1275" spans="6:21">
      <c r="F1275" s="303"/>
      <c r="G1275" s="303"/>
      <c r="J1275" s="303"/>
      <c r="K1275" s="324"/>
      <c r="L1275" s="303"/>
      <c r="M1275" s="303"/>
      <c r="N1275" s="303"/>
      <c r="O1275" s="303"/>
      <c r="P1275" s="303"/>
      <c r="Q1275" s="25"/>
      <c r="R1275" s="25"/>
      <c r="S1275" s="25"/>
      <c r="T1275" s="25"/>
      <c r="U1275" s="25"/>
    </row>
    <row r="1276" spans="6:21">
      <c r="F1276" s="303"/>
      <c r="G1276" s="303"/>
      <c r="J1276" s="303"/>
      <c r="K1276" s="324"/>
      <c r="L1276" s="303"/>
      <c r="M1276" s="303"/>
      <c r="N1276" s="303"/>
      <c r="O1276" s="303"/>
      <c r="P1276" s="303"/>
      <c r="Q1276" s="25"/>
      <c r="R1276" s="25"/>
      <c r="S1276" s="25"/>
      <c r="T1276" s="25"/>
      <c r="U1276" s="25"/>
    </row>
    <row r="1277" spans="6:21">
      <c r="F1277" s="303"/>
      <c r="G1277" s="303"/>
      <c r="J1277" s="303"/>
      <c r="K1277" s="324"/>
      <c r="L1277" s="303"/>
      <c r="M1277" s="303"/>
      <c r="N1277" s="303"/>
      <c r="O1277" s="303"/>
      <c r="P1277" s="303"/>
      <c r="Q1277" s="25"/>
      <c r="R1277" s="25"/>
      <c r="S1277" s="25"/>
      <c r="T1277" s="25"/>
      <c r="U1277" s="25"/>
    </row>
    <row r="1278" spans="6:21">
      <c r="F1278" s="303"/>
      <c r="G1278" s="303"/>
      <c r="J1278" s="303"/>
      <c r="K1278" s="324"/>
      <c r="L1278" s="303"/>
      <c r="M1278" s="303"/>
      <c r="N1278" s="303"/>
      <c r="O1278" s="303"/>
      <c r="P1278" s="303"/>
      <c r="Q1278" s="25"/>
      <c r="R1278" s="25"/>
      <c r="S1278" s="25"/>
      <c r="T1278" s="25"/>
      <c r="U1278" s="25"/>
    </row>
    <row r="1279" spans="6:21">
      <c r="F1279" s="303"/>
      <c r="G1279" s="303"/>
      <c r="J1279" s="303"/>
      <c r="K1279" s="324"/>
      <c r="L1279" s="303"/>
      <c r="M1279" s="303"/>
      <c r="N1279" s="303"/>
      <c r="O1279" s="303"/>
      <c r="P1279" s="303"/>
      <c r="Q1279" s="25"/>
      <c r="R1279" s="25"/>
      <c r="S1279" s="25"/>
      <c r="T1279" s="25"/>
      <c r="U1279" s="25"/>
    </row>
    <row r="1280" spans="6:21">
      <c r="F1280" s="303"/>
      <c r="G1280" s="303"/>
      <c r="J1280" s="303"/>
      <c r="K1280" s="324"/>
      <c r="L1280" s="303"/>
      <c r="M1280" s="303"/>
      <c r="N1280" s="303"/>
      <c r="O1280" s="303"/>
      <c r="P1280" s="303"/>
      <c r="Q1280" s="25"/>
      <c r="R1280" s="25"/>
      <c r="S1280" s="25"/>
      <c r="T1280" s="25"/>
      <c r="U1280" s="25"/>
    </row>
    <row r="1281" spans="6:21">
      <c r="F1281" s="303"/>
      <c r="G1281" s="303"/>
      <c r="J1281" s="303"/>
      <c r="K1281" s="324"/>
      <c r="L1281" s="303"/>
      <c r="M1281" s="303"/>
      <c r="N1281" s="303"/>
      <c r="O1281" s="303"/>
      <c r="P1281" s="303"/>
      <c r="Q1281" s="25"/>
      <c r="R1281" s="25"/>
      <c r="S1281" s="25"/>
      <c r="T1281" s="25"/>
      <c r="U1281" s="25"/>
    </row>
    <row r="1282" spans="6:21">
      <c r="F1282" s="303"/>
      <c r="G1282" s="303"/>
      <c r="J1282" s="303"/>
      <c r="K1282" s="324"/>
      <c r="L1282" s="303"/>
      <c r="M1282" s="303"/>
      <c r="N1282" s="303"/>
      <c r="O1282" s="303"/>
      <c r="P1282" s="303"/>
      <c r="Q1282" s="25"/>
      <c r="R1282" s="25"/>
      <c r="S1282" s="25"/>
      <c r="T1282" s="25"/>
      <c r="U1282" s="25"/>
    </row>
    <row r="1283" spans="6:21">
      <c r="F1283" s="303"/>
      <c r="G1283" s="303"/>
      <c r="J1283" s="303"/>
      <c r="K1283" s="324"/>
      <c r="L1283" s="303"/>
      <c r="M1283" s="303"/>
      <c r="N1283" s="303"/>
      <c r="O1283" s="303"/>
      <c r="P1283" s="303"/>
      <c r="Q1283" s="25"/>
      <c r="R1283" s="25"/>
      <c r="S1283" s="25"/>
      <c r="T1283" s="25"/>
      <c r="U1283" s="25"/>
    </row>
    <row r="1284" spans="6:21">
      <c r="F1284" s="303"/>
      <c r="G1284" s="303"/>
      <c r="J1284" s="303"/>
      <c r="K1284" s="324"/>
      <c r="L1284" s="303"/>
      <c r="M1284" s="303"/>
      <c r="N1284" s="303"/>
      <c r="O1284" s="303"/>
      <c r="P1284" s="303"/>
      <c r="Q1284" s="25"/>
      <c r="R1284" s="25"/>
      <c r="S1284" s="25"/>
      <c r="T1284" s="25"/>
      <c r="U1284" s="25"/>
    </row>
    <row r="1285" spans="6:21">
      <c r="F1285" s="303"/>
      <c r="G1285" s="303"/>
      <c r="J1285" s="303"/>
      <c r="K1285" s="324"/>
      <c r="L1285" s="303"/>
      <c r="M1285" s="303"/>
      <c r="N1285" s="303"/>
      <c r="O1285" s="303"/>
      <c r="P1285" s="303"/>
      <c r="Q1285" s="25"/>
      <c r="R1285" s="25"/>
      <c r="S1285" s="25"/>
      <c r="T1285" s="25"/>
      <c r="U1285" s="25"/>
    </row>
    <row r="1286" spans="6:21">
      <c r="F1286" s="303"/>
      <c r="G1286" s="303"/>
      <c r="J1286" s="303"/>
      <c r="K1286" s="324"/>
      <c r="L1286" s="303"/>
      <c r="M1286" s="303"/>
      <c r="N1286" s="303"/>
      <c r="O1286" s="303"/>
      <c r="P1286" s="303"/>
      <c r="Q1286" s="25"/>
      <c r="R1286" s="25"/>
      <c r="S1286" s="25"/>
      <c r="T1286" s="25"/>
      <c r="U1286" s="25"/>
    </row>
    <row r="1287" spans="6:21">
      <c r="F1287" s="303"/>
      <c r="G1287" s="303"/>
      <c r="J1287" s="303"/>
      <c r="K1287" s="324"/>
      <c r="L1287" s="303"/>
      <c r="M1287" s="303"/>
      <c r="N1287" s="303"/>
      <c r="O1287" s="303"/>
      <c r="P1287" s="303"/>
      <c r="Q1287" s="25"/>
      <c r="R1287" s="25"/>
      <c r="S1287" s="25"/>
      <c r="T1287" s="25"/>
      <c r="U1287" s="25"/>
    </row>
    <row r="1288" spans="6:21">
      <c r="F1288" s="303"/>
      <c r="G1288" s="303"/>
      <c r="J1288" s="303"/>
      <c r="K1288" s="324"/>
      <c r="L1288" s="303"/>
      <c r="M1288" s="303"/>
      <c r="N1288" s="303"/>
      <c r="O1288" s="303"/>
      <c r="P1288" s="303"/>
      <c r="Q1288" s="25"/>
      <c r="R1288" s="25"/>
      <c r="S1288" s="25"/>
      <c r="T1288" s="25"/>
      <c r="U1288" s="25"/>
    </row>
    <row r="1289" spans="6:21">
      <c r="F1289" s="303"/>
      <c r="G1289" s="303"/>
      <c r="J1289" s="303"/>
      <c r="K1289" s="324"/>
      <c r="L1289" s="303"/>
      <c r="M1289" s="303"/>
      <c r="N1289" s="303"/>
      <c r="O1289" s="303"/>
      <c r="P1289" s="303"/>
      <c r="Q1289" s="25"/>
      <c r="R1289" s="25"/>
      <c r="S1289" s="25"/>
      <c r="T1289" s="25"/>
      <c r="U1289" s="25"/>
    </row>
    <row r="1290" spans="6:21">
      <c r="F1290" s="303"/>
      <c r="G1290" s="303"/>
      <c r="J1290" s="303"/>
      <c r="K1290" s="324"/>
      <c r="L1290" s="303"/>
      <c r="M1290" s="303"/>
      <c r="N1290" s="303"/>
      <c r="O1290" s="303"/>
      <c r="P1290" s="303"/>
      <c r="Q1290" s="25"/>
      <c r="R1290" s="25"/>
      <c r="S1290" s="25"/>
      <c r="T1290" s="25"/>
      <c r="U1290" s="25"/>
    </row>
    <row r="1291" spans="6:21">
      <c r="F1291" s="303"/>
      <c r="G1291" s="303"/>
      <c r="J1291" s="303"/>
      <c r="K1291" s="324"/>
      <c r="L1291" s="303"/>
      <c r="M1291" s="303"/>
      <c r="N1291" s="303"/>
      <c r="O1291" s="303"/>
      <c r="P1291" s="303"/>
      <c r="Q1291" s="25"/>
      <c r="R1291" s="25"/>
      <c r="S1291" s="25"/>
      <c r="T1291" s="25"/>
      <c r="U1291" s="25"/>
    </row>
    <row r="1292" spans="6:21">
      <c r="F1292" s="303"/>
      <c r="G1292" s="303"/>
      <c r="J1292" s="303"/>
      <c r="K1292" s="324"/>
      <c r="L1292" s="303"/>
      <c r="M1292" s="303"/>
      <c r="N1292" s="303"/>
      <c r="O1292" s="303"/>
      <c r="P1292" s="303"/>
      <c r="Q1292" s="25"/>
      <c r="R1292" s="25"/>
      <c r="S1292" s="25"/>
      <c r="T1292" s="25"/>
      <c r="U1292" s="25"/>
    </row>
    <row r="1293" spans="6:21">
      <c r="F1293" s="303"/>
      <c r="G1293" s="303"/>
      <c r="J1293" s="303"/>
      <c r="K1293" s="324"/>
      <c r="L1293" s="303"/>
      <c r="M1293" s="303"/>
      <c r="N1293" s="303"/>
      <c r="O1293" s="303"/>
      <c r="P1293" s="303"/>
      <c r="Q1293" s="25"/>
      <c r="R1293" s="25"/>
      <c r="S1293" s="25"/>
      <c r="T1293" s="25"/>
      <c r="U1293" s="25"/>
    </row>
    <row r="1294" spans="6:21">
      <c r="F1294" s="303"/>
      <c r="G1294" s="303"/>
      <c r="J1294" s="303"/>
      <c r="K1294" s="324"/>
      <c r="L1294" s="303"/>
      <c r="M1294" s="303"/>
      <c r="N1294" s="303"/>
      <c r="O1294" s="303"/>
      <c r="P1294" s="303"/>
      <c r="Q1294" s="25"/>
      <c r="R1294" s="25"/>
      <c r="S1294" s="25"/>
      <c r="T1294" s="25"/>
      <c r="U1294" s="25"/>
    </row>
    <row r="1295" spans="6:21">
      <c r="F1295" s="303"/>
      <c r="G1295" s="303"/>
      <c r="J1295" s="303"/>
      <c r="K1295" s="324"/>
      <c r="L1295" s="303"/>
      <c r="M1295" s="303"/>
      <c r="N1295" s="303"/>
      <c r="O1295" s="303"/>
      <c r="P1295" s="303"/>
      <c r="Q1295" s="25"/>
      <c r="R1295" s="25"/>
      <c r="S1295" s="25"/>
      <c r="T1295" s="25"/>
      <c r="U1295" s="25"/>
    </row>
    <row r="1296" spans="6:21">
      <c r="F1296" s="303"/>
      <c r="G1296" s="303"/>
      <c r="J1296" s="303"/>
      <c r="K1296" s="324"/>
      <c r="L1296" s="303"/>
      <c r="M1296" s="303"/>
      <c r="N1296" s="303"/>
      <c r="O1296" s="303"/>
      <c r="P1296" s="303"/>
      <c r="Q1296" s="25"/>
      <c r="R1296" s="25"/>
      <c r="S1296" s="25"/>
      <c r="T1296" s="25"/>
      <c r="U1296" s="25"/>
    </row>
    <row r="1297" spans="6:21">
      <c r="F1297" s="303"/>
      <c r="G1297" s="303"/>
      <c r="J1297" s="303"/>
      <c r="K1297" s="324"/>
      <c r="L1297" s="303"/>
      <c r="M1297" s="303"/>
      <c r="N1297" s="303"/>
      <c r="O1297" s="303"/>
      <c r="P1297" s="303"/>
      <c r="Q1297" s="25"/>
      <c r="R1297" s="25"/>
      <c r="S1297" s="25"/>
      <c r="T1297" s="25"/>
      <c r="U1297" s="25"/>
    </row>
    <row r="1298" spans="6:21">
      <c r="F1298" s="303"/>
      <c r="G1298" s="303"/>
      <c r="J1298" s="303"/>
      <c r="K1298" s="324"/>
      <c r="L1298" s="303"/>
      <c r="M1298" s="303"/>
      <c r="N1298" s="303"/>
      <c r="O1298" s="303"/>
      <c r="P1298" s="303"/>
      <c r="Q1298" s="25"/>
      <c r="R1298" s="25"/>
      <c r="S1298" s="25"/>
      <c r="T1298" s="25"/>
      <c r="U1298" s="25"/>
    </row>
    <row r="1299" spans="6:21">
      <c r="F1299" s="303"/>
      <c r="G1299" s="303"/>
      <c r="J1299" s="303"/>
      <c r="K1299" s="324"/>
      <c r="L1299" s="303"/>
      <c r="M1299" s="303"/>
      <c r="N1299" s="303"/>
      <c r="O1299" s="303"/>
      <c r="P1299" s="303"/>
      <c r="Q1299" s="25"/>
      <c r="R1299" s="25"/>
      <c r="S1299" s="25"/>
      <c r="T1299" s="25"/>
      <c r="U1299" s="25"/>
    </row>
    <row r="1300" spans="6:21">
      <c r="F1300" s="303"/>
      <c r="G1300" s="303"/>
      <c r="J1300" s="303"/>
      <c r="K1300" s="324"/>
      <c r="L1300" s="303"/>
      <c r="M1300" s="303"/>
      <c r="N1300" s="303"/>
      <c r="O1300" s="303"/>
      <c r="P1300" s="303"/>
      <c r="Q1300" s="25"/>
      <c r="R1300" s="25"/>
      <c r="S1300" s="25"/>
      <c r="T1300" s="25"/>
      <c r="U1300" s="25"/>
    </row>
    <row r="1301" spans="6:21">
      <c r="F1301" s="303"/>
      <c r="G1301" s="303"/>
      <c r="J1301" s="303"/>
      <c r="K1301" s="324"/>
      <c r="L1301" s="303"/>
      <c r="M1301" s="303"/>
      <c r="N1301" s="303"/>
      <c r="O1301" s="303"/>
      <c r="P1301" s="303"/>
      <c r="Q1301" s="25"/>
      <c r="R1301" s="25"/>
      <c r="S1301" s="25"/>
      <c r="T1301" s="25"/>
      <c r="U1301" s="25"/>
    </row>
    <row r="1302" spans="6:21">
      <c r="F1302" s="303"/>
      <c r="G1302" s="303"/>
      <c r="J1302" s="303"/>
      <c r="K1302" s="324"/>
      <c r="L1302" s="303"/>
      <c r="M1302" s="303"/>
      <c r="N1302" s="303"/>
      <c r="O1302" s="303"/>
      <c r="P1302" s="303"/>
      <c r="Q1302" s="25"/>
      <c r="R1302" s="25"/>
      <c r="S1302" s="25"/>
      <c r="T1302" s="25"/>
      <c r="U1302" s="25"/>
    </row>
    <row r="1303" spans="6:21">
      <c r="F1303" s="303"/>
      <c r="G1303" s="303"/>
      <c r="J1303" s="303"/>
      <c r="K1303" s="324"/>
      <c r="L1303" s="303"/>
      <c r="M1303" s="303"/>
      <c r="N1303" s="303"/>
      <c r="O1303" s="303"/>
      <c r="P1303" s="303"/>
      <c r="Q1303" s="25"/>
      <c r="R1303" s="25"/>
      <c r="S1303" s="25"/>
      <c r="T1303" s="25"/>
      <c r="U1303" s="25"/>
    </row>
    <row r="1304" spans="6:21">
      <c r="F1304" s="303"/>
      <c r="G1304" s="303"/>
      <c r="J1304" s="303"/>
      <c r="K1304" s="324"/>
      <c r="L1304" s="303"/>
      <c r="M1304" s="303"/>
      <c r="N1304" s="303"/>
      <c r="O1304" s="303"/>
      <c r="P1304" s="303"/>
      <c r="Q1304" s="25"/>
      <c r="R1304" s="25"/>
      <c r="S1304" s="25"/>
      <c r="T1304" s="25"/>
      <c r="U1304" s="25"/>
    </row>
    <row r="1305" spans="6:21">
      <c r="F1305" s="303"/>
      <c r="G1305" s="303"/>
      <c r="J1305" s="303"/>
      <c r="K1305" s="324"/>
      <c r="L1305" s="303"/>
      <c r="M1305" s="303"/>
      <c r="N1305" s="303"/>
      <c r="O1305" s="303"/>
      <c r="P1305" s="303"/>
      <c r="Q1305" s="25"/>
      <c r="R1305" s="25"/>
      <c r="S1305" s="25"/>
      <c r="T1305" s="25"/>
      <c r="U1305" s="25"/>
    </row>
    <row r="1306" spans="6:21">
      <c r="F1306" s="303"/>
      <c r="G1306" s="303"/>
      <c r="J1306" s="303"/>
      <c r="K1306" s="324"/>
      <c r="L1306" s="303"/>
      <c r="M1306" s="303"/>
      <c r="N1306" s="303"/>
      <c r="O1306" s="303"/>
      <c r="P1306" s="303"/>
      <c r="Q1306" s="25"/>
      <c r="R1306" s="25"/>
      <c r="S1306" s="25"/>
      <c r="T1306" s="25"/>
      <c r="U1306" s="25"/>
    </row>
    <row r="1307" spans="6:21">
      <c r="F1307" s="303"/>
      <c r="G1307" s="303"/>
      <c r="J1307" s="303"/>
      <c r="K1307" s="324"/>
      <c r="L1307" s="303"/>
      <c r="M1307" s="303"/>
      <c r="N1307" s="303"/>
      <c r="O1307" s="303"/>
      <c r="P1307" s="303"/>
      <c r="Q1307" s="25"/>
      <c r="R1307" s="25"/>
      <c r="S1307" s="25"/>
      <c r="T1307" s="25"/>
      <c r="U1307" s="25"/>
    </row>
    <row r="1308" spans="6:21">
      <c r="F1308" s="303"/>
      <c r="G1308" s="303"/>
      <c r="J1308" s="303"/>
      <c r="K1308" s="324"/>
      <c r="L1308" s="303"/>
      <c r="M1308" s="303"/>
      <c r="N1308" s="303"/>
      <c r="O1308" s="303"/>
      <c r="P1308" s="303"/>
      <c r="Q1308" s="25"/>
      <c r="R1308" s="25"/>
      <c r="S1308" s="25"/>
      <c r="T1308" s="25"/>
      <c r="U1308" s="25"/>
    </row>
    <row r="1309" spans="6:21">
      <c r="F1309" s="303"/>
      <c r="G1309" s="303"/>
      <c r="J1309" s="303"/>
      <c r="K1309" s="324"/>
      <c r="L1309" s="303"/>
      <c r="M1309" s="303"/>
      <c r="N1309" s="303"/>
      <c r="O1309" s="303"/>
      <c r="P1309" s="303"/>
      <c r="Q1309" s="25"/>
      <c r="R1309" s="25"/>
      <c r="S1309" s="25"/>
      <c r="T1309" s="25"/>
      <c r="U1309" s="25"/>
    </row>
    <row r="1310" spans="6:21">
      <c r="F1310" s="303"/>
      <c r="G1310" s="303"/>
      <c r="J1310" s="303"/>
      <c r="K1310" s="324"/>
      <c r="L1310" s="303"/>
      <c r="M1310" s="303"/>
      <c r="N1310" s="303"/>
      <c r="O1310" s="303"/>
      <c r="P1310" s="303"/>
      <c r="Q1310" s="25"/>
      <c r="R1310" s="25"/>
      <c r="S1310" s="25"/>
      <c r="T1310" s="25"/>
      <c r="U1310" s="25"/>
    </row>
    <row r="1311" spans="6:21">
      <c r="F1311" s="303"/>
      <c r="G1311" s="303"/>
      <c r="J1311" s="303"/>
      <c r="K1311" s="324"/>
      <c r="L1311" s="303"/>
      <c r="M1311" s="303"/>
      <c r="N1311" s="303"/>
      <c r="O1311" s="303"/>
      <c r="P1311" s="303"/>
      <c r="Q1311" s="25"/>
      <c r="R1311" s="25"/>
      <c r="S1311" s="25"/>
      <c r="T1311" s="25"/>
      <c r="U1311" s="25"/>
    </row>
    <row r="1312" spans="6:21">
      <c r="F1312" s="303"/>
      <c r="G1312" s="303"/>
      <c r="J1312" s="303"/>
      <c r="K1312" s="324"/>
      <c r="L1312" s="303"/>
      <c r="M1312" s="303"/>
      <c r="N1312" s="303"/>
      <c r="O1312" s="303"/>
      <c r="P1312" s="303"/>
      <c r="Q1312" s="25"/>
      <c r="R1312" s="25"/>
      <c r="S1312" s="25"/>
      <c r="T1312" s="25"/>
      <c r="U1312" s="25"/>
    </row>
    <row r="1313" spans="6:21">
      <c r="F1313" s="303"/>
      <c r="G1313" s="303"/>
      <c r="J1313" s="303"/>
      <c r="K1313" s="324"/>
      <c r="L1313" s="303"/>
      <c r="M1313" s="303"/>
      <c r="N1313" s="303"/>
      <c r="O1313" s="303"/>
      <c r="P1313" s="303"/>
      <c r="Q1313" s="25"/>
      <c r="R1313" s="25"/>
      <c r="S1313" s="25"/>
      <c r="T1313" s="25"/>
      <c r="U1313" s="25"/>
    </row>
    <row r="1314" spans="6:21">
      <c r="F1314" s="303"/>
      <c r="G1314" s="303"/>
      <c r="J1314" s="303"/>
      <c r="K1314" s="324"/>
      <c r="L1314" s="303"/>
      <c r="M1314" s="303"/>
      <c r="N1314" s="303"/>
      <c r="O1314" s="303"/>
      <c r="P1314" s="303"/>
      <c r="Q1314" s="25"/>
      <c r="R1314" s="25"/>
      <c r="S1314" s="25"/>
      <c r="T1314" s="25"/>
      <c r="U1314" s="25"/>
    </row>
    <row r="1315" spans="6:21">
      <c r="F1315" s="303"/>
      <c r="G1315" s="303"/>
      <c r="J1315" s="303"/>
      <c r="K1315" s="324"/>
      <c r="L1315" s="303"/>
      <c r="M1315" s="303"/>
      <c r="N1315" s="303"/>
      <c r="O1315" s="303"/>
      <c r="P1315" s="303"/>
      <c r="Q1315" s="25"/>
      <c r="R1315" s="25"/>
      <c r="S1315" s="25"/>
      <c r="T1315" s="25"/>
      <c r="U1315" s="25"/>
    </row>
    <row r="1316" spans="6:21">
      <c r="F1316" s="303"/>
      <c r="G1316" s="303"/>
      <c r="J1316" s="303"/>
      <c r="K1316" s="324"/>
      <c r="L1316" s="303"/>
      <c r="M1316" s="303"/>
      <c r="N1316" s="303"/>
      <c r="O1316" s="303"/>
      <c r="P1316" s="303"/>
      <c r="Q1316" s="25"/>
      <c r="R1316" s="25"/>
      <c r="S1316" s="25"/>
      <c r="T1316" s="25"/>
      <c r="U1316" s="25"/>
    </row>
    <row r="1317" spans="6:21">
      <c r="F1317" s="303"/>
      <c r="G1317" s="303"/>
      <c r="J1317" s="303"/>
      <c r="K1317" s="324"/>
      <c r="L1317" s="303"/>
      <c r="M1317" s="303"/>
      <c r="N1317" s="303"/>
      <c r="O1317" s="303"/>
      <c r="P1317" s="303"/>
      <c r="Q1317" s="25"/>
      <c r="R1317" s="25"/>
      <c r="S1317" s="25"/>
      <c r="T1317" s="25"/>
      <c r="U1317" s="25"/>
    </row>
    <row r="1318" spans="6:21">
      <c r="F1318" s="303"/>
      <c r="G1318" s="303"/>
      <c r="J1318" s="303"/>
      <c r="K1318" s="324"/>
      <c r="L1318" s="303"/>
      <c r="M1318" s="303"/>
      <c r="N1318" s="303"/>
      <c r="O1318" s="303"/>
      <c r="P1318" s="303"/>
      <c r="Q1318" s="25"/>
      <c r="R1318" s="25"/>
      <c r="S1318" s="25"/>
      <c r="T1318" s="25"/>
      <c r="U1318" s="25"/>
    </row>
    <row r="1319" spans="6:21">
      <c r="F1319" s="303"/>
      <c r="G1319" s="303"/>
      <c r="J1319" s="303"/>
      <c r="K1319" s="324"/>
      <c r="L1319" s="303"/>
      <c r="M1319" s="303"/>
      <c r="N1319" s="303"/>
      <c r="O1319" s="303"/>
      <c r="P1319" s="303"/>
      <c r="Q1319" s="25"/>
      <c r="R1319" s="25"/>
      <c r="S1319" s="25"/>
      <c r="T1319" s="25"/>
      <c r="U1319" s="25"/>
    </row>
    <row r="1320" spans="6:21">
      <c r="F1320" s="303"/>
      <c r="G1320" s="303"/>
      <c r="J1320" s="303"/>
      <c r="K1320" s="324"/>
      <c r="L1320" s="303"/>
      <c r="M1320" s="303"/>
      <c r="N1320" s="303"/>
      <c r="O1320" s="303"/>
      <c r="P1320" s="303"/>
      <c r="Q1320" s="25"/>
      <c r="R1320" s="25"/>
      <c r="S1320" s="25"/>
      <c r="T1320" s="25"/>
      <c r="U1320" s="25"/>
    </row>
    <row r="1321" spans="6:21">
      <c r="F1321" s="303"/>
      <c r="G1321" s="303"/>
      <c r="J1321" s="303"/>
      <c r="K1321" s="324"/>
      <c r="L1321" s="303"/>
      <c r="M1321" s="303"/>
      <c r="N1321" s="303"/>
      <c r="O1321" s="303"/>
      <c r="P1321" s="303"/>
      <c r="Q1321" s="25"/>
      <c r="R1321" s="25"/>
      <c r="S1321" s="25"/>
      <c r="T1321" s="25"/>
      <c r="U1321" s="25"/>
    </row>
    <row r="1322" spans="6:21">
      <c r="F1322" s="303"/>
      <c r="G1322" s="303"/>
      <c r="J1322" s="303"/>
      <c r="K1322" s="324"/>
      <c r="L1322" s="303"/>
      <c r="M1322" s="303"/>
      <c r="N1322" s="303"/>
      <c r="O1322" s="303"/>
      <c r="P1322" s="303"/>
      <c r="Q1322" s="25"/>
      <c r="R1322" s="25"/>
      <c r="S1322" s="25"/>
      <c r="T1322" s="25"/>
      <c r="U1322" s="25"/>
    </row>
    <row r="1323" spans="6:21">
      <c r="F1323" s="303"/>
      <c r="G1323" s="303"/>
      <c r="J1323" s="303"/>
      <c r="K1323" s="324"/>
      <c r="L1323" s="303"/>
      <c r="M1323" s="303"/>
      <c r="N1323" s="303"/>
      <c r="O1323" s="303"/>
      <c r="P1323" s="303"/>
      <c r="Q1323" s="25"/>
      <c r="R1323" s="25"/>
      <c r="S1323" s="25"/>
      <c r="T1323" s="25"/>
      <c r="U1323" s="25"/>
    </row>
    <row r="1324" spans="6:21">
      <c r="F1324" s="303"/>
      <c r="G1324" s="303"/>
      <c r="J1324" s="303"/>
      <c r="K1324" s="324"/>
      <c r="L1324" s="303"/>
      <c r="M1324" s="303"/>
      <c r="N1324" s="303"/>
      <c r="O1324" s="303"/>
      <c r="P1324" s="303"/>
      <c r="Q1324" s="25"/>
      <c r="R1324" s="25"/>
      <c r="S1324" s="25"/>
      <c r="T1324" s="25"/>
      <c r="U1324" s="25"/>
    </row>
    <row r="1325" spans="6:21">
      <c r="F1325" s="303"/>
      <c r="G1325" s="303"/>
      <c r="J1325" s="303"/>
      <c r="K1325" s="324"/>
      <c r="L1325" s="303"/>
      <c r="M1325" s="303"/>
      <c r="N1325" s="303"/>
      <c r="O1325" s="303"/>
      <c r="P1325" s="303"/>
      <c r="Q1325" s="25"/>
      <c r="R1325" s="25"/>
      <c r="S1325" s="25"/>
      <c r="T1325" s="25"/>
      <c r="U1325" s="25"/>
    </row>
    <row r="1326" spans="6:21">
      <c r="F1326" s="303"/>
      <c r="G1326" s="303"/>
      <c r="J1326" s="303"/>
      <c r="K1326" s="324"/>
      <c r="L1326" s="303"/>
      <c r="M1326" s="303"/>
      <c r="N1326" s="303"/>
      <c r="O1326" s="303"/>
      <c r="P1326" s="303"/>
      <c r="Q1326" s="25"/>
      <c r="R1326" s="25"/>
      <c r="S1326" s="25"/>
      <c r="T1326" s="25"/>
      <c r="U1326" s="25"/>
    </row>
    <row r="1327" spans="6:21">
      <c r="F1327" s="303"/>
      <c r="G1327" s="303"/>
      <c r="J1327" s="303"/>
      <c r="K1327" s="324"/>
      <c r="L1327" s="303"/>
      <c r="M1327" s="303"/>
      <c r="N1327" s="303"/>
      <c r="O1327" s="303"/>
      <c r="P1327" s="303"/>
      <c r="Q1327" s="25"/>
      <c r="R1327" s="25"/>
      <c r="S1327" s="25"/>
      <c r="T1327" s="25"/>
      <c r="U1327" s="25"/>
    </row>
    <row r="1328" spans="6:21">
      <c r="F1328" s="303"/>
      <c r="G1328" s="303"/>
      <c r="J1328" s="303"/>
      <c r="K1328" s="324"/>
      <c r="L1328" s="303"/>
      <c r="M1328" s="303"/>
      <c r="N1328" s="303"/>
      <c r="O1328" s="303"/>
      <c r="P1328" s="303"/>
      <c r="Q1328" s="25"/>
      <c r="R1328" s="25"/>
      <c r="S1328" s="25"/>
      <c r="T1328" s="25"/>
      <c r="U1328" s="25"/>
    </row>
    <row r="1329" spans="6:21">
      <c r="F1329" s="303"/>
      <c r="G1329" s="303"/>
      <c r="J1329" s="303"/>
      <c r="K1329" s="324"/>
      <c r="L1329" s="303"/>
      <c r="M1329" s="303"/>
      <c r="N1329" s="303"/>
      <c r="O1329" s="303"/>
      <c r="P1329" s="303"/>
      <c r="Q1329" s="25"/>
      <c r="R1329" s="25"/>
      <c r="S1329" s="25"/>
      <c r="T1329" s="25"/>
      <c r="U1329" s="25"/>
    </row>
    <row r="1330" spans="6:21">
      <c r="F1330" s="303"/>
      <c r="G1330" s="303"/>
      <c r="J1330" s="303"/>
      <c r="K1330" s="324"/>
      <c r="L1330" s="303"/>
      <c r="M1330" s="303"/>
      <c r="N1330" s="303"/>
      <c r="O1330" s="303"/>
      <c r="P1330" s="303"/>
      <c r="Q1330" s="25"/>
      <c r="R1330" s="25"/>
      <c r="S1330" s="25"/>
      <c r="T1330" s="25"/>
      <c r="U1330" s="25"/>
    </row>
    <row r="1331" spans="6:21">
      <c r="F1331" s="303"/>
      <c r="G1331" s="303"/>
      <c r="J1331" s="303"/>
      <c r="K1331" s="324"/>
      <c r="L1331" s="303"/>
      <c r="M1331" s="303"/>
      <c r="N1331" s="303"/>
      <c r="O1331" s="303"/>
      <c r="P1331" s="303"/>
      <c r="Q1331" s="25"/>
      <c r="R1331" s="25"/>
      <c r="S1331" s="25"/>
      <c r="T1331" s="25"/>
      <c r="U1331" s="25"/>
    </row>
    <row r="1332" spans="6:21">
      <c r="F1332" s="303"/>
      <c r="G1332" s="303"/>
      <c r="J1332" s="303"/>
      <c r="K1332" s="324"/>
      <c r="L1332" s="303"/>
      <c r="M1332" s="303"/>
      <c r="N1332" s="303"/>
      <c r="O1332" s="303"/>
      <c r="P1332" s="303"/>
      <c r="Q1332" s="25"/>
      <c r="R1332" s="25"/>
      <c r="S1332" s="25"/>
      <c r="T1332" s="25"/>
      <c r="U1332" s="25"/>
    </row>
    <row r="1333" spans="6:21">
      <c r="F1333" s="303"/>
      <c r="G1333" s="303"/>
      <c r="J1333" s="303"/>
      <c r="K1333" s="324"/>
      <c r="L1333" s="303"/>
      <c r="M1333" s="303"/>
      <c r="N1333" s="303"/>
      <c r="O1333" s="303"/>
      <c r="P1333" s="303"/>
      <c r="Q1333" s="25"/>
      <c r="R1333" s="25"/>
      <c r="S1333" s="25"/>
      <c r="T1333" s="25"/>
      <c r="U1333" s="25"/>
    </row>
    <row r="1334" spans="6:21">
      <c r="F1334" s="303"/>
      <c r="G1334" s="303"/>
      <c r="J1334" s="303"/>
      <c r="K1334" s="324"/>
      <c r="L1334" s="303"/>
      <c r="M1334" s="303"/>
      <c r="N1334" s="303"/>
      <c r="O1334" s="303"/>
      <c r="P1334" s="303"/>
      <c r="Q1334" s="25"/>
      <c r="R1334" s="25"/>
      <c r="S1334" s="25"/>
      <c r="T1334" s="25"/>
      <c r="U1334" s="25"/>
    </row>
    <row r="1335" spans="6:21">
      <c r="F1335" s="303"/>
      <c r="G1335" s="303"/>
      <c r="J1335" s="303"/>
      <c r="K1335" s="324"/>
      <c r="L1335" s="303"/>
      <c r="M1335" s="303"/>
      <c r="N1335" s="303"/>
      <c r="O1335" s="303"/>
      <c r="P1335" s="303"/>
      <c r="Q1335" s="25"/>
      <c r="R1335" s="25"/>
      <c r="S1335" s="25"/>
      <c r="T1335" s="25"/>
      <c r="U1335" s="25"/>
    </row>
    <row r="1336" spans="6:21">
      <c r="F1336" s="303"/>
      <c r="G1336" s="303"/>
      <c r="J1336" s="303"/>
      <c r="K1336" s="324"/>
      <c r="L1336" s="303"/>
      <c r="M1336" s="303"/>
      <c r="N1336" s="303"/>
      <c r="O1336" s="303"/>
      <c r="P1336" s="303"/>
      <c r="Q1336" s="25"/>
      <c r="R1336" s="25"/>
      <c r="S1336" s="25"/>
      <c r="T1336" s="25"/>
      <c r="U1336" s="25"/>
    </row>
    <row r="1337" spans="6:21">
      <c r="F1337" s="303"/>
      <c r="G1337" s="303"/>
      <c r="J1337" s="303"/>
      <c r="K1337" s="324"/>
      <c r="L1337" s="303"/>
      <c r="M1337" s="303"/>
      <c r="N1337" s="303"/>
      <c r="O1337" s="303"/>
      <c r="P1337" s="303"/>
      <c r="Q1337" s="25"/>
      <c r="R1337" s="25"/>
      <c r="S1337" s="25"/>
      <c r="T1337" s="25"/>
      <c r="U1337" s="25"/>
    </row>
    <row r="1338" spans="6:21">
      <c r="F1338" s="303"/>
      <c r="G1338" s="303"/>
      <c r="J1338" s="303"/>
      <c r="K1338" s="324"/>
      <c r="L1338" s="303"/>
      <c r="M1338" s="303"/>
      <c r="N1338" s="303"/>
      <c r="O1338" s="303"/>
      <c r="P1338" s="303"/>
      <c r="Q1338" s="25"/>
      <c r="R1338" s="25"/>
      <c r="S1338" s="25"/>
      <c r="T1338" s="25"/>
      <c r="U1338" s="25"/>
    </row>
    <row r="1339" spans="6:21">
      <c r="F1339" s="303"/>
      <c r="G1339" s="303"/>
      <c r="J1339" s="303"/>
      <c r="K1339" s="324"/>
      <c r="L1339" s="303"/>
      <c r="M1339" s="303"/>
      <c r="N1339" s="303"/>
      <c r="O1339" s="303"/>
      <c r="P1339" s="303"/>
      <c r="Q1339" s="25"/>
      <c r="R1339" s="25"/>
      <c r="S1339" s="25"/>
      <c r="T1339" s="25"/>
      <c r="U1339" s="25"/>
    </row>
    <row r="1340" spans="6:21">
      <c r="F1340" s="303"/>
      <c r="G1340" s="303"/>
      <c r="J1340" s="303"/>
      <c r="K1340" s="324"/>
      <c r="L1340" s="303"/>
      <c r="M1340" s="303"/>
      <c r="N1340" s="303"/>
      <c r="O1340" s="303"/>
      <c r="P1340" s="303"/>
      <c r="Q1340" s="25"/>
      <c r="R1340" s="25"/>
      <c r="S1340" s="25"/>
      <c r="T1340" s="25"/>
      <c r="U1340" s="25"/>
    </row>
    <row r="1341" spans="6:21">
      <c r="F1341" s="303"/>
      <c r="G1341" s="303"/>
      <c r="J1341" s="303"/>
      <c r="K1341" s="324"/>
      <c r="L1341" s="303"/>
      <c r="M1341" s="303"/>
      <c r="N1341" s="303"/>
      <c r="O1341" s="303"/>
      <c r="P1341" s="303"/>
      <c r="Q1341" s="25"/>
      <c r="R1341" s="25"/>
      <c r="S1341" s="25"/>
      <c r="T1341" s="25"/>
      <c r="U1341" s="25"/>
    </row>
    <row r="1342" spans="6:21">
      <c r="F1342" s="303"/>
      <c r="G1342" s="303"/>
      <c r="J1342" s="303"/>
      <c r="K1342" s="324"/>
      <c r="L1342" s="303"/>
      <c r="M1342" s="303"/>
      <c r="N1342" s="303"/>
      <c r="O1342" s="303"/>
      <c r="P1342" s="303"/>
      <c r="Q1342" s="25"/>
      <c r="R1342" s="25"/>
      <c r="S1342" s="25"/>
      <c r="T1342" s="25"/>
      <c r="U1342" s="25"/>
    </row>
    <row r="1343" spans="6:21">
      <c r="F1343" s="303"/>
      <c r="G1343" s="303"/>
      <c r="J1343" s="303"/>
      <c r="K1343" s="324"/>
      <c r="L1343" s="303"/>
      <c r="M1343" s="303"/>
      <c r="N1343" s="303"/>
      <c r="O1343" s="303"/>
      <c r="P1343" s="303"/>
      <c r="Q1343" s="25"/>
      <c r="R1343" s="25"/>
      <c r="S1343" s="25"/>
      <c r="T1343" s="25"/>
      <c r="U1343" s="25"/>
    </row>
    <row r="1344" spans="6:21">
      <c r="F1344" s="303"/>
      <c r="G1344" s="303"/>
      <c r="J1344" s="303"/>
      <c r="K1344" s="324"/>
      <c r="L1344" s="303"/>
      <c r="M1344" s="303"/>
      <c r="N1344" s="303"/>
      <c r="O1344" s="303"/>
      <c r="P1344" s="303"/>
      <c r="Q1344" s="25"/>
      <c r="R1344" s="25"/>
      <c r="S1344" s="25"/>
      <c r="T1344" s="25"/>
      <c r="U1344" s="25"/>
    </row>
    <row r="1345" spans="6:21">
      <c r="F1345" s="303"/>
      <c r="G1345" s="303"/>
      <c r="J1345" s="303"/>
      <c r="K1345" s="324"/>
      <c r="L1345" s="303"/>
      <c r="M1345" s="303"/>
      <c r="N1345" s="303"/>
      <c r="O1345" s="303"/>
      <c r="P1345" s="303"/>
      <c r="Q1345" s="25"/>
      <c r="R1345" s="25"/>
      <c r="S1345" s="25"/>
      <c r="T1345" s="25"/>
      <c r="U1345" s="25"/>
    </row>
    <row r="1346" spans="6:21">
      <c r="F1346" s="303"/>
      <c r="G1346" s="303"/>
      <c r="J1346" s="303"/>
      <c r="K1346" s="324"/>
      <c r="L1346" s="303"/>
      <c r="M1346" s="303"/>
      <c r="N1346" s="303"/>
      <c r="O1346" s="303"/>
      <c r="P1346" s="303"/>
      <c r="Q1346" s="25"/>
      <c r="R1346" s="25"/>
      <c r="S1346" s="25"/>
      <c r="T1346" s="25"/>
      <c r="U1346" s="25"/>
    </row>
    <row r="1347" spans="6:21">
      <c r="F1347" s="303"/>
      <c r="G1347" s="303"/>
      <c r="J1347" s="303"/>
      <c r="K1347" s="324"/>
      <c r="L1347" s="303"/>
      <c r="M1347" s="303"/>
      <c r="N1347" s="303"/>
      <c r="O1347" s="303"/>
      <c r="P1347" s="303"/>
      <c r="Q1347" s="25"/>
      <c r="R1347" s="25"/>
      <c r="S1347" s="25"/>
      <c r="T1347" s="25"/>
      <c r="U1347" s="25"/>
    </row>
    <row r="1348" spans="6:21">
      <c r="F1348" s="303"/>
      <c r="G1348" s="303"/>
      <c r="J1348" s="303"/>
      <c r="K1348" s="324"/>
      <c r="L1348" s="303"/>
      <c r="M1348" s="303"/>
      <c r="N1348" s="303"/>
      <c r="O1348" s="303"/>
      <c r="P1348" s="303"/>
      <c r="Q1348" s="25"/>
      <c r="R1348" s="25"/>
      <c r="S1348" s="25"/>
      <c r="T1348" s="25"/>
      <c r="U1348" s="25"/>
    </row>
    <row r="1349" spans="6:21">
      <c r="F1349" s="303"/>
      <c r="G1349" s="303"/>
      <c r="J1349" s="303"/>
      <c r="K1349" s="324"/>
      <c r="L1349" s="303"/>
      <c r="M1349" s="303"/>
      <c r="N1349" s="303"/>
      <c r="O1349" s="303"/>
      <c r="P1349" s="303"/>
      <c r="Q1349" s="25"/>
      <c r="R1349" s="25"/>
      <c r="S1349" s="25"/>
      <c r="T1349" s="25"/>
      <c r="U1349" s="25"/>
    </row>
    <row r="1350" spans="6:21">
      <c r="F1350" s="303"/>
      <c r="G1350" s="303"/>
      <c r="J1350" s="303"/>
      <c r="K1350" s="324"/>
      <c r="L1350" s="303"/>
      <c r="M1350" s="303"/>
      <c r="N1350" s="303"/>
      <c r="O1350" s="303"/>
      <c r="P1350" s="303"/>
      <c r="Q1350" s="25"/>
      <c r="R1350" s="25"/>
      <c r="S1350" s="25"/>
      <c r="T1350" s="25"/>
      <c r="U1350" s="25"/>
    </row>
    <row r="1351" spans="6:21">
      <c r="F1351" s="303"/>
      <c r="G1351" s="303"/>
      <c r="J1351" s="303"/>
      <c r="K1351" s="324"/>
      <c r="L1351" s="303"/>
      <c r="M1351" s="303"/>
      <c r="N1351" s="303"/>
      <c r="O1351" s="303"/>
      <c r="P1351" s="303"/>
      <c r="Q1351" s="25"/>
      <c r="R1351" s="25"/>
      <c r="S1351" s="25"/>
      <c r="T1351" s="25"/>
      <c r="U1351" s="25"/>
    </row>
    <row r="1352" spans="6:21">
      <c r="F1352" s="303"/>
      <c r="G1352" s="303"/>
      <c r="J1352" s="303"/>
      <c r="K1352" s="324"/>
      <c r="L1352" s="303"/>
      <c r="M1352" s="303"/>
      <c r="N1352" s="303"/>
      <c r="O1352" s="303"/>
      <c r="P1352" s="303"/>
      <c r="Q1352" s="25"/>
      <c r="R1352" s="25"/>
      <c r="S1352" s="25"/>
      <c r="T1352" s="25"/>
      <c r="U1352" s="25"/>
    </row>
    <row r="1353" spans="6:21">
      <c r="F1353" s="303"/>
      <c r="G1353" s="303"/>
      <c r="J1353" s="303"/>
      <c r="K1353" s="324"/>
      <c r="L1353" s="303"/>
      <c r="M1353" s="303"/>
      <c r="N1353" s="303"/>
      <c r="O1353" s="303"/>
      <c r="P1353" s="303"/>
      <c r="Q1353" s="25"/>
      <c r="R1353" s="25"/>
      <c r="S1353" s="25"/>
      <c r="T1353" s="25"/>
      <c r="U1353" s="25"/>
    </row>
    <row r="1354" spans="6:21">
      <c r="F1354" s="303"/>
      <c r="G1354" s="303"/>
      <c r="J1354" s="303"/>
      <c r="K1354" s="324"/>
      <c r="L1354" s="303"/>
      <c r="M1354" s="303"/>
      <c r="N1354" s="303"/>
      <c r="O1354" s="303"/>
      <c r="P1354" s="303"/>
      <c r="Q1354" s="25"/>
      <c r="R1354" s="25"/>
      <c r="S1354" s="25"/>
      <c r="T1354" s="25"/>
      <c r="U1354" s="25"/>
    </row>
    <row r="1355" spans="6:21">
      <c r="F1355" s="303"/>
      <c r="G1355" s="303"/>
      <c r="J1355" s="303"/>
      <c r="K1355" s="324"/>
      <c r="L1355" s="303"/>
      <c r="M1355" s="303"/>
      <c r="N1355" s="303"/>
      <c r="O1355" s="303"/>
      <c r="P1355" s="303"/>
      <c r="Q1355" s="25"/>
      <c r="R1355" s="25"/>
      <c r="S1355" s="25"/>
      <c r="T1355" s="25"/>
      <c r="U1355" s="25"/>
    </row>
    <row r="1356" spans="6:21">
      <c r="F1356" s="303"/>
      <c r="G1356" s="303"/>
      <c r="J1356" s="303"/>
      <c r="K1356" s="324"/>
      <c r="L1356" s="303"/>
      <c r="M1356" s="303"/>
      <c r="N1356" s="303"/>
      <c r="O1356" s="303"/>
      <c r="P1356" s="303"/>
      <c r="Q1356" s="25"/>
      <c r="R1356" s="25"/>
      <c r="S1356" s="25"/>
      <c r="T1356" s="25"/>
      <c r="U1356" s="25"/>
    </row>
    <row r="1357" spans="6:21">
      <c r="F1357" s="303"/>
      <c r="G1357" s="303"/>
      <c r="J1357" s="303"/>
      <c r="K1357" s="324"/>
      <c r="L1357" s="303"/>
      <c r="M1357" s="303"/>
      <c r="N1357" s="303"/>
      <c r="O1357" s="303"/>
      <c r="P1357" s="303"/>
      <c r="Q1357" s="25"/>
      <c r="R1357" s="25"/>
      <c r="S1357" s="25"/>
      <c r="T1357" s="25"/>
      <c r="U1357" s="25"/>
    </row>
    <row r="1358" spans="6:21">
      <c r="F1358" s="303"/>
      <c r="G1358" s="303"/>
      <c r="J1358" s="303"/>
      <c r="K1358" s="324"/>
      <c r="L1358" s="303"/>
      <c r="M1358" s="303"/>
      <c r="N1358" s="303"/>
      <c r="O1358" s="303"/>
      <c r="P1358" s="303"/>
      <c r="Q1358" s="25"/>
      <c r="R1358" s="25"/>
      <c r="S1358" s="25"/>
      <c r="T1358" s="25"/>
      <c r="U1358" s="25"/>
    </row>
    <row r="1359" spans="6:21">
      <c r="F1359" s="303"/>
      <c r="G1359" s="303"/>
      <c r="J1359" s="303"/>
      <c r="K1359" s="324"/>
      <c r="L1359" s="303"/>
      <c r="M1359" s="303"/>
      <c r="N1359" s="303"/>
      <c r="O1359" s="303"/>
      <c r="P1359" s="303"/>
      <c r="Q1359" s="25"/>
      <c r="R1359" s="25"/>
      <c r="S1359" s="25"/>
      <c r="T1359" s="25"/>
      <c r="U1359" s="25"/>
    </row>
    <row r="1360" spans="6:21">
      <c r="F1360" s="303"/>
      <c r="G1360" s="303"/>
      <c r="J1360" s="303"/>
      <c r="K1360" s="324"/>
      <c r="L1360" s="303"/>
      <c r="M1360" s="303"/>
      <c r="N1360" s="303"/>
      <c r="O1360" s="303"/>
      <c r="P1360" s="303"/>
      <c r="Q1360" s="25"/>
      <c r="R1360" s="25"/>
      <c r="S1360" s="25"/>
      <c r="T1360" s="25"/>
      <c r="U1360" s="25"/>
    </row>
    <row r="1361" spans="6:21">
      <c r="F1361" s="303"/>
      <c r="G1361" s="303"/>
      <c r="J1361" s="303"/>
      <c r="K1361" s="324"/>
      <c r="L1361" s="303"/>
      <c r="M1361" s="303"/>
      <c r="N1361" s="303"/>
      <c r="O1361" s="303"/>
      <c r="P1361" s="303"/>
      <c r="Q1361" s="25"/>
      <c r="R1361" s="25"/>
      <c r="S1361" s="25"/>
      <c r="T1361" s="25"/>
      <c r="U1361" s="25"/>
    </row>
    <row r="1362" spans="6:21">
      <c r="F1362" s="303"/>
      <c r="G1362" s="303"/>
      <c r="J1362" s="303"/>
      <c r="K1362" s="324"/>
      <c r="L1362" s="303"/>
      <c r="M1362" s="303"/>
      <c r="N1362" s="303"/>
      <c r="O1362" s="303"/>
      <c r="P1362" s="303"/>
      <c r="Q1362" s="25"/>
      <c r="R1362" s="25"/>
      <c r="S1362" s="25"/>
      <c r="T1362" s="25"/>
      <c r="U1362" s="25"/>
    </row>
    <row r="1363" spans="6:21">
      <c r="F1363" s="303"/>
      <c r="G1363" s="303"/>
      <c r="J1363" s="303"/>
      <c r="K1363" s="324"/>
      <c r="L1363" s="303"/>
      <c r="M1363" s="303"/>
      <c r="N1363" s="303"/>
      <c r="O1363" s="303"/>
      <c r="P1363" s="303"/>
      <c r="Q1363" s="25"/>
      <c r="R1363" s="25"/>
      <c r="S1363" s="25"/>
      <c r="T1363" s="25"/>
      <c r="U1363" s="25"/>
    </row>
    <row r="1364" spans="6:21">
      <c r="F1364" s="303"/>
      <c r="G1364" s="303"/>
      <c r="J1364" s="303"/>
      <c r="K1364" s="324"/>
      <c r="L1364" s="303"/>
      <c r="M1364" s="303"/>
      <c r="N1364" s="303"/>
      <c r="O1364" s="303"/>
      <c r="P1364" s="303"/>
      <c r="Q1364" s="25"/>
      <c r="R1364" s="25"/>
      <c r="S1364" s="25"/>
      <c r="T1364" s="25"/>
      <c r="U1364" s="25"/>
    </row>
    <row r="1365" spans="6:21">
      <c r="F1365" s="303"/>
      <c r="G1365" s="303"/>
      <c r="J1365" s="303"/>
      <c r="K1365" s="324"/>
      <c r="L1365" s="303"/>
      <c r="M1365" s="303"/>
      <c r="N1365" s="303"/>
      <c r="O1365" s="303"/>
      <c r="P1365" s="303"/>
      <c r="Q1365" s="25"/>
      <c r="R1365" s="25"/>
      <c r="S1365" s="25"/>
      <c r="T1365" s="25"/>
      <c r="U1365" s="25"/>
    </row>
    <row r="1366" spans="6:21">
      <c r="F1366" s="303"/>
      <c r="G1366" s="303"/>
      <c r="J1366" s="303"/>
      <c r="K1366" s="324"/>
      <c r="L1366" s="303"/>
      <c r="M1366" s="303"/>
      <c r="N1366" s="303"/>
      <c r="O1366" s="303"/>
      <c r="P1366" s="303"/>
      <c r="Q1366" s="25"/>
      <c r="R1366" s="25"/>
      <c r="S1366" s="25"/>
      <c r="T1366" s="25"/>
      <c r="U1366" s="25"/>
    </row>
    <row r="1367" spans="6:21">
      <c r="F1367" s="303"/>
      <c r="G1367" s="303"/>
      <c r="J1367" s="303"/>
      <c r="K1367" s="324"/>
      <c r="L1367" s="303"/>
      <c r="M1367" s="303"/>
      <c r="N1367" s="303"/>
      <c r="O1367" s="303"/>
      <c r="P1367" s="303"/>
      <c r="Q1367" s="25"/>
      <c r="R1367" s="25"/>
      <c r="S1367" s="25"/>
      <c r="T1367" s="25"/>
      <c r="U1367" s="25"/>
    </row>
    <row r="1368" spans="6:21">
      <c r="F1368" s="303"/>
      <c r="G1368" s="303"/>
      <c r="J1368" s="303"/>
      <c r="K1368" s="324"/>
      <c r="L1368" s="303"/>
      <c r="M1368" s="303"/>
      <c r="N1368" s="303"/>
      <c r="O1368" s="303"/>
      <c r="P1368" s="303"/>
      <c r="Q1368" s="25"/>
      <c r="R1368" s="25"/>
      <c r="S1368" s="25"/>
      <c r="T1368" s="25"/>
      <c r="U1368" s="25"/>
    </row>
    <row r="1369" spans="6:21">
      <c r="F1369" s="303"/>
      <c r="G1369" s="303"/>
      <c r="J1369" s="303"/>
      <c r="K1369" s="324"/>
      <c r="L1369" s="303"/>
      <c r="M1369" s="303"/>
      <c r="N1369" s="303"/>
      <c r="O1369" s="303"/>
      <c r="P1369" s="303"/>
      <c r="Q1369" s="25"/>
      <c r="R1369" s="25"/>
      <c r="S1369" s="25"/>
      <c r="T1369" s="25"/>
      <c r="U1369" s="25"/>
    </row>
    <row r="1370" spans="6:21">
      <c r="F1370" s="303"/>
      <c r="G1370" s="303"/>
      <c r="J1370" s="303"/>
      <c r="K1370" s="324"/>
      <c r="L1370" s="303"/>
      <c r="M1370" s="303"/>
      <c r="N1370" s="303"/>
      <c r="O1370" s="303"/>
      <c r="P1370" s="303"/>
      <c r="Q1370" s="25"/>
      <c r="R1370" s="25"/>
      <c r="S1370" s="25"/>
      <c r="T1370" s="25"/>
      <c r="U1370" s="25"/>
    </row>
    <row r="1371" spans="6:21">
      <c r="F1371" s="303"/>
      <c r="G1371" s="303"/>
      <c r="J1371" s="303"/>
      <c r="K1371" s="324"/>
      <c r="L1371" s="303"/>
      <c r="M1371" s="303"/>
      <c r="N1371" s="303"/>
      <c r="O1371" s="303"/>
      <c r="P1371" s="303"/>
      <c r="Q1371" s="25"/>
      <c r="R1371" s="25"/>
      <c r="S1371" s="25"/>
      <c r="T1371" s="25"/>
      <c r="U1371" s="25"/>
    </row>
    <row r="1372" spans="6:21">
      <c r="F1372" s="303"/>
      <c r="G1372" s="303"/>
      <c r="J1372" s="303"/>
      <c r="K1372" s="324"/>
      <c r="L1372" s="303"/>
      <c r="M1372" s="303"/>
      <c r="N1372" s="303"/>
      <c r="O1372" s="303"/>
      <c r="P1372" s="303"/>
      <c r="Q1372" s="25"/>
      <c r="R1372" s="25"/>
      <c r="S1372" s="25"/>
      <c r="T1372" s="25"/>
      <c r="U1372" s="25"/>
    </row>
    <row r="1373" spans="6:21">
      <c r="F1373" s="303"/>
      <c r="G1373" s="303"/>
      <c r="J1373" s="303"/>
      <c r="K1373" s="324"/>
      <c r="L1373" s="303"/>
      <c r="M1373" s="303"/>
      <c r="N1373" s="303"/>
      <c r="O1373" s="303"/>
      <c r="P1373" s="303"/>
      <c r="Q1373" s="25"/>
      <c r="R1373" s="25"/>
      <c r="S1373" s="25"/>
      <c r="T1373" s="25"/>
      <c r="U1373" s="25"/>
    </row>
    <row r="1374" spans="6:21">
      <c r="F1374" s="303"/>
      <c r="G1374" s="303"/>
      <c r="J1374" s="303"/>
      <c r="K1374" s="324"/>
      <c r="L1374" s="303"/>
      <c r="M1374" s="303"/>
      <c r="N1374" s="303"/>
      <c r="O1374" s="303"/>
      <c r="P1374" s="303"/>
      <c r="Q1374" s="25"/>
      <c r="R1374" s="25"/>
      <c r="S1374" s="25"/>
      <c r="T1374" s="25"/>
      <c r="U1374" s="25"/>
    </row>
    <row r="1375" spans="6:21">
      <c r="F1375" s="303"/>
      <c r="G1375" s="303"/>
      <c r="J1375" s="303"/>
      <c r="K1375" s="324"/>
      <c r="L1375" s="303"/>
      <c r="M1375" s="303"/>
      <c r="N1375" s="303"/>
      <c r="O1375" s="303"/>
      <c r="P1375" s="303"/>
      <c r="Q1375" s="25"/>
      <c r="R1375" s="25"/>
      <c r="S1375" s="25"/>
      <c r="T1375" s="25"/>
      <c r="U1375" s="25"/>
    </row>
    <row r="1376" spans="6:21">
      <c r="F1376" s="303"/>
      <c r="G1376" s="303"/>
      <c r="J1376" s="303"/>
      <c r="K1376" s="324"/>
      <c r="L1376" s="303"/>
      <c r="M1376" s="303"/>
      <c r="N1376" s="303"/>
      <c r="O1376" s="303"/>
      <c r="P1376" s="303"/>
      <c r="Q1376" s="25"/>
      <c r="R1376" s="25"/>
      <c r="S1376" s="25"/>
      <c r="T1376" s="25"/>
      <c r="U1376" s="25"/>
    </row>
    <row r="1377" spans="6:21">
      <c r="F1377" s="303"/>
      <c r="G1377" s="303"/>
      <c r="J1377" s="303"/>
      <c r="K1377" s="324"/>
      <c r="L1377" s="303"/>
      <c r="M1377" s="303"/>
      <c r="N1377" s="303"/>
      <c r="O1377" s="303"/>
      <c r="P1377" s="303"/>
      <c r="Q1377" s="25"/>
      <c r="R1377" s="25"/>
      <c r="S1377" s="25"/>
      <c r="T1377" s="25"/>
      <c r="U1377" s="25"/>
    </row>
    <row r="1378" spans="6:21">
      <c r="F1378" s="303"/>
      <c r="G1378" s="303"/>
      <c r="J1378" s="303"/>
      <c r="K1378" s="324"/>
      <c r="L1378" s="303"/>
      <c r="M1378" s="303"/>
      <c r="N1378" s="303"/>
      <c r="O1378" s="303"/>
      <c r="P1378" s="303"/>
      <c r="Q1378" s="25"/>
      <c r="R1378" s="25"/>
      <c r="S1378" s="25"/>
      <c r="T1378" s="25"/>
      <c r="U1378" s="25"/>
    </row>
    <row r="1379" spans="6:21">
      <c r="F1379" s="303"/>
      <c r="G1379" s="303"/>
      <c r="J1379" s="303"/>
      <c r="K1379" s="324"/>
      <c r="L1379" s="303"/>
      <c r="M1379" s="303"/>
      <c r="N1379" s="303"/>
      <c r="O1379" s="303"/>
      <c r="P1379" s="303"/>
      <c r="Q1379" s="25"/>
      <c r="R1379" s="25"/>
      <c r="S1379" s="25"/>
      <c r="T1379" s="25"/>
      <c r="U1379" s="25"/>
    </row>
    <row r="1380" spans="6:21">
      <c r="F1380" s="303"/>
      <c r="G1380" s="303"/>
      <c r="J1380" s="303"/>
      <c r="K1380" s="324"/>
      <c r="L1380" s="303"/>
      <c r="M1380" s="303"/>
      <c r="N1380" s="303"/>
      <c r="O1380" s="303"/>
      <c r="P1380" s="303"/>
      <c r="Q1380" s="25"/>
      <c r="R1380" s="25"/>
      <c r="S1380" s="25"/>
      <c r="T1380" s="25"/>
      <c r="U1380" s="25"/>
    </row>
    <row r="1381" spans="6:21">
      <c r="F1381" s="303"/>
      <c r="G1381" s="303"/>
      <c r="J1381" s="303"/>
      <c r="K1381" s="324"/>
      <c r="L1381" s="303"/>
      <c r="M1381" s="303"/>
      <c r="N1381" s="303"/>
      <c r="O1381" s="303"/>
      <c r="P1381" s="303"/>
      <c r="Q1381" s="25"/>
      <c r="R1381" s="25"/>
      <c r="S1381" s="25"/>
      <c r="T1381" s="25"/>
      <c r="U1381" s="25"/>
    </row>
    <row r="1382" spans="6:21">
      <c r="F1382" s="303"/>
      <c r="G1382" s="303"/>
      <c r="J1382" s="303"/>
      <c r="K1382" s="324"/>
      <c r="L1382" s="303"/>
      <c r="M1382" s="303"/>
      <c r="N1382" s="303"/>
      <c r="O1382" s="303"/>
      <c r="P1382" s="303"/>
      <c r="Q1382" s="25"/>
      <c r="R1382" s="25"/>
      <c r="S1382" s="25"/>
      <c r="T1382" s="25"/>
      <c r="U1382" s="25"/>
    </row>
    <row r="1383" spans="6:21">
      <c r="F1383" s="303"/>
      <c r="G1383" s="303"/>
      <c r="J1383" s="303"/>
      <c r="K1383" s="324"/>
      <c r="L1383" s="303"/>
      <c r="M1383" s="303"/>
      <c r="N1383" s="303"/>
      <c r="O1383" s="303"/>
      <c r="P1383" s="303"/>
      <c r="Q1383" s="25"/>
      <c r="R1383" s="25"/>
      <c r="S1383" s="25"/>
      <c r="T1383" s="25"/>
      <c r="U1383" s="25"/>
    </row>
    <row r="1384" spans="6:21">
      <c r="F1384" s="303"/>
      <c r="G1384" s="303"/>
      <c r="J1384" s="303"/>
      <c r="K1384" s="324"/>
      <c r="L1384" s="303"/>
      <c r="M1384" s="303"/>
      <c r="N1384" s="303"/>
      <c r="O1384" s="303"/>
      <c r="P1384" s="303"/>
      <c r="Q1384" s="25"/>
      <c r="R1384" s="25"/>
      <c r="S1384" s="25"/>
      <c r="T1384" s="25"/>
      <c r="U1384" s="25"/>
    </row>
    <row r="1385" spans="6:21">
      <c r="F1385" s="303"/>
      <c r="G1385" s="303"/>
      <c r="J1385" s="303"/>
      <c r="K1385" s="324"/>
      <c r="L1385" s="303"/>
      <c r="M1385" s="303"/>
      <c r="N1385" s="303"/>
      <c r="O1385" s="303"/>
      <c r="P1385" s="303"/>
      <c r="Q1385" s="25"/>
      <c r="R1385" s="25"/>
      <c r="S1385" s="25"/>
      <c r="T1385" s="25"/>
      <c r="U1385" s="25"/>
    </row>
    <row r="1386" spans="6:21">
      <c r="F1386" s="303"/>
      <c r="G1386" s="303"/>
      <c r="J1386" s="303"/>
      <c r="K1386" s="324"/>
      <c r="L1386" s="303"/>
      <c r="M1386" s="303"/>
      <c r="N1386" s="303"/>
      <c r="O1386" s="303"/>
      <c r="P1386" s="303"/>
      <c r="Q1386" s="25"/>
      <c r="R1386" s="25"/>
      <c r="S1386" s="25"/>
      <c r="T1386" s="25"/>
      <c r="U1386" s="25"/>
    </row>
    <row r="1387" spans="6:21">
      <c r="F1387" s="303"/>
      <c r="G1387" s="303"/>
      <c r="J1387" s="303"/>
      <c r="K1387" s="324"/>
      <c r="L1387" s="303"/>
      <c r="M1387" s="303"/>
      <c r="N1387" s="303"/>
      <c r="O1387" s="303"/>
      <c r="P1387" s="303"/>
      <c r="Q1387" s="25"/>
      <c r="R1387" s="25"/>
      <c r="S1387" s="25"/>
      <c r="T1387" s="25"/>
      <c r="U1387" s="25"/>
    </row>
    <row r="1388" spans="6:21">
      <c r="F1388" s="303"/>
      <c r="G1388" s="303"/>
      <c r="J1388" s="303"/>
      <c r="K1388" s="324"/>
      <c r="L1388" s="303"/>
      <c r="M1388" s="303"/>
      <c r="N1388" s="303"/>
      <c r="O1388" s="303"/>
      <c r="P1388" s="303"/>
      <c r="Q1388" s="25"/>
      <c r="R1388" s="25"/>
      <c r="S1388" s="25"/>
      <c r="T1388" s="25"/>
      <c r="U1388" s="25"/>
    </row>
    <row r="1389" spans="6:21">
      <c r="F1389" s="303"/>
      <c r="G1389" s="303"/>
      <c r="J1389" s="303"/>
      <c r="K1389" s="324"/>
      <c r="L1389" s="303"/>
      <c r="M1389" s="303"/>
      <c r="N1389" s="303"/>
      <c r="O1389" s="303"/>
      <c r="P1389" s="303"/>
      <c r="Q1389" s="25"/>
      <c r="R1389" s="25"/>
      <c r="S1389" s="25"/>
      <c r="T1389" s="25"/>
      <c r="U1389" s="25"/>
    </row>
    <row r="1390" spans="6:21">
      <c r="F1390" s="303"/>
      <c r="G1390" s="303"/>
      <c r="J1390" s="303"/>
      <c r="K1390" s="324"/>
      <c r="L1390" s="303"/>
      <c r="M1390" s="303"/>
      <c r="N1390" s="303"/>
      <c r="O1390" s="303"/>
      <c r="P1390" s="303"/>
      <c r="Q1390" s="25"/>
      <c r="R1390" s="25"/>
      <c r="S1390" s="25"/>
      <c r="T1390" s="25"/>
      <c r="U1390" s="25"/>
    </row>
    <row r="1391" spans="6:21">
      <c r="F1391" s="303"/>
      <c r="G1391" s="303"/>
      <c r="J1391" s="303"/>
      <c r="K1391" s="324"/>
      <c r="L1391" s="303"/>
      <c r="M1391" s="303"/>
      <c r="N1391" s="303"/>
      <c r="O1391" s="303"/>
      <c r="P1391" s="303"/>
      <c r="Q1391" s="25"/>
      <c r="R1391" s="25"/>
      <c r="S1391" s="25"/>
      <c r="T1391" s="25"/>
      <c r="U1391" s="25"/>
    </row>
    <row r="1392" spans="6:21">
      <c r="F1392" s="303"/>
      <c r="G1392" s="303"/>
      <c r="J1392" s="303"/>
      <c r="K1392" s="324"/>
      <c r="L1392" s="303"/>
      <c r="M1392" s="303"/>
      <c r="N1392" s="303"/>
      <c r="O1392" s="303"/>
      <c r="P1392" s="303"/>
      <c r="Q1392" s="25"/>
      <c r="R1392" s="25"/>
      <c r="S1392" s="25"/>
      <c r="T1392" s="25"/>
      <c r="U1392" s="25"/>
    </row>
    <row r="1393" spans="6:21">
      <c r="F1393" s="303"/>
      <c r="G1393" s="303"/>
      <c r="J1393" s="303"/>
      <c r="K1393" s="324"/>
      <c r="L1393" s="303"/>
      <c r="M1393" s="303"/>
      <c r="N1393" s="303"/>
      <c r="O1393" s="303"/>
      <c r="P1393" s="303"/>
      <c r="Q1393" s="25"/>
      <c r="R1393" s="25"/>
      <c r="S1393" s="25"/>
      <c r="T1393" s="25"/>
      <c r="U1393" s="25"/>
    </row>
    <row r="1394" spans="6:21">
      <c r="F1394" s="303"/>
      <c r="G1394" s="303"/>
      <c r="J1394" s="303"/>
      <c r="K1394" s="324"/>
      <c r="L1394" s="303"/>
      <c r="M1394" s="303"/>
      <c r="N1394" s="303"/>
      <c r="O1394" s="303"/>
      <c r="P1394" s="303"/>
      <c r="Q1394" s="25"/>
      <c r="R1394" s="25"/>
      <c r="S1394" s="25"/>
      <c r="T1394" s="25"/>
      <c r="U1394" s="25"/>
    </row>
    <row r="1395" spans="6:21">
      <c r="F1395" s="303"/>
      <c r="G1395" s="303"/>
      <c r="J1395" s="303"/>
      <c r="K1395" s="324"/>
      <c r="L1395" s="303"/>
      <c r="M1395" s="303"/>
      <c r="N1395" s="303"/>
      <c r="O1395" s="303"/>
      <c r="P1395" s="303"/>
      <c r="Q1395" s="25"/>
      <c r="R1395" s="25"/>
      <c r="S1395" s="25"/>
      <c r="T1395" s="25"/>
      <c r="U1395" s="25"/>
    </row>
    <row r="1396" spans="6:21">
      <c r="F1396" s="303"/>
      <c r="G1396" s="303"/>
      <c r="J1396" s="303"/>
      <c r="K1396" s="324"/>
      <c r="L1396" s="303"/>
      <c r="M1396" s="303"/>
      <c r="N1396" s="303"/>
      <c r="O1396" s="303"/>
      <c r="P1396" s="303"/>
      <c r="Q1396" s="25"/>
      <c r="R1396" s="25"/>
      <c r="S1396" s="25"/>
      <c r="T1396" s="25"/>
      <c r="U1396" s="25"/>
    </row>
    <row r="1397" spans="6:21">
      <c r="F1397" s="303"/>
      <c r="G1397" s="303"/>
      <c r="J1397" s="303"/>
      <c r="K1397" s="324"/>
      <c r="L1397" s="303"/>
      <c r="M1397" s="303"/>
      <c r="N1397" s="303"/>
      <c r="O1397" s="303"/>
      <c r="P1397" s="303"/>
      <c r="Q1397" s="25"/>
      <c r="R1397" s="25"/>
      <c r="S1397" s="25"/>
      <c r="T1397" s="25"/>
      <c r="U1397" s="25"/>
    </row>
    <row r="1398" spans="6:21">
      <c r="F1398" s="303"/>
      <c r="G1398" s="303"/>
      <c r="J1398" s="303"/>
      <c r="K1398" s="324"/>
      <c r="L1398" s="303"/>
      <c r="M1398" s="303"/>
      <c r="N1398" s="303"/>
      <c r="O1398" s="303"/>
      <c r="P1398" s="303"/>
      <c r="Q1398" s="25"/>
      <c r="R1398" s="25"/>
      <c r="S1398" s="25"/>
      <c r="T1398" s="25"/>
      <c r="U1398" s="25"/>
    </row>
    <row r="1399" spans="6:21">
      <c r="F1399" s="303"/>
      <c r="G1399" s="303"/>
      <c r="J1399" s="303"/>
      <c r="K1399" s="324"/>
      <c r="L1399" s="303"/>
      <c r="M1399" s="303"/>
      <c r="N1399" s="303"/>
      <c r="O1399" s="303"/>
      <c r="P1399" s="303"/>
      <c r="Q1399" s="25"/>
      <c r="R1399" s="25"/>
      <c r="S1399" s="25"/>
      <c r="T1399" s="25"/>
      <c r="U1399" s="25"/>
    </row>
    <row r="1400" spans="6:21">
      <c r="F1400" s="303"/>
      <c r="G1400" s="303"/>
      <c r="J1400" s="303"/>
      <c r="K1400" s="324"/>
      <c r="L1400" s="303"/>
      <c r="M1400" s="303"/>
      <c r="N1400" s="303"/>
      <c r="O1400" s="303"/>
      <c r="P1400" s="303"/>
      <c r="Q1400" s="25"/>
      <c r="R1400" s="25"/>
      <c r="S1400" s="25"/>
      <c r="T1400" s="25"/>
      <c r="U1400" s="25"/>
    </row>
    <row r="1401" spans="6:21">
      <c r="F1401" s="303"/>
      <c r="G1401" s="303"/>
      <c r="J1401" s="303"/>
      <c r="K1401" s="324"/>
      <c r="L1401" s="303"/>
      <c r="M1401" s="303"/>
      <c r="N1401" s="303"/>
      <c r="O1401" s="303"/>
      <c r="P1401" s="303"/>
      <c r="Q1401" s="25"/>
      <c r="R1401" s="25"/>
      <c r="S1401" s="25"/>
      <c r="T1401" s="25"/>
      <c r="U1401" s="25"/>
    </row>
    <row r="1402" spans="6:21">
      <c r="F1402" s="303"/>
      <c r="G1402" s="303"/>
      <c r="J1402" s="303"/>
      <c r="K1402" s="324"/>
      <c r="L1402" s="303"/>
      <c r="M1402" s="303"/>
      <c r="N1402" s="303"/>
      <c r="O1402" s="303"/>
      <c r="P1402" s="303"/>
      <c r="Q1402" s="25"/>
      <c r="R1402" s="25"/>
      <c r="S1402" s="25"/>
      <c r="T1402" s="25"/>
      <c r="U1402" s="25"/>
    </row>
    <row r="1403" spans="6:21">
      <c r="F1403" s="303"/>
      <c r="G1403" s="303"/>
      <c r="J1403" s="303"/>
      <c r="K1403" s="324"/>
      <c r="L1403" s="303"/>
      <c r="M1403" s="303"/>
      <c r="N1403" s="303"/>
      <c r="O1403" s="303"/>
      <c r="P1403" s="303"/>
      <c r="Q1403" s="25"/>
      <c r="R1403" s="25"/>
      <c r="S1403" s="25"/>
      <c r="T1403" s="25"/>
      <c r="U1403" s="25"/>
    </row>
    <row r="1404" spans="6:21">
      <c r="F1404" s="303"/>
      <c r="G1404" s="303"/>
      <c r="J1404" s="303"/>
      <c r="K1404" s="324"/>
      <c r="L1404" s="303"/>
      <c r="M1404" s="303"/>
      <c r="N1404" s="303"/>
      <c r="O1404" s="303"/>
      <c r="P1404" s="303"/>
      <c r="Q1404" s="25"/>
      <c r="R1404" s="25"/>
      <c r="S1404" s="25"/>
      <c r="T1404" s="25"/>
      <c r="U1404" s="25"/>
    </row>
    <row r="1405" spans="6:21">
      <c r="F1405" s="303"/>
      <c r="G1405" s="303"/>
      <c r="J1405" s="303"/>
      <c r="K1405" s="324"/>
      <c r="L1405" s="303"/>
      <c r="M1405" s="303"/>
      <c r="N1405" s="303"/>
      <c r="O1405" s="303"/>
      <c r="P1405" s="303"/>
      <c r="Q1405" s="25"/>
      <c r="R1405" s="25"/>
      <c r="S1405" s="25"/>
      <c r="T1405" s="25"/>
      <c r="U1405" s="25"/>
    </row>
    <row r="1406" spans="6:21">
      <c r="F1406" s="303"/>
      <c r="G1406" s="303"/>
      <c r="J1406" s="303"/>
      <c r="K1406" s="324"/>
      <c r="L1406" s="303"/>
      <c r="M1406" s="303"/>
      <c r="N1406" s="303"/>
      <c r="O1406" s="303"/>
      <c r="P1406" s="303"/>
      <c r="Q1406" s="25"/>
      <c r="R1406" s="25"/>
      <c r="S1406" s="25"/>
      <c r="T1406" s="25"/>
      <c r="U1406" s="25"/>
    </row>
    <row r="1407" spans="6:21">
      <c r="F1407" s="303"/>
      <c r="G1407" s="303"/>
      <c r="J1407" s="303"/>
      <c r="K1407" s="324"/>
      <c r="L1407" s="303"/>
      <c r="M1407" s="303"/>
      <c r="N1407" s="303"/>
      <c r="O1407" s="303"/>
      <c r="P1407" s="303"/>
      <c r="Q1407" s="25"/>
      <c r="R1407" s="25"/>
      <c r="S1407" s="25"/>
      <c r="T1407" s="25"/>
      <c r="U1407" s="25"/>
    </row>
    <row r="1408" spans="6:21">
      <c r="F1408" s="303"/>
      <c r="G1408" s="303"/>
      <c r="J1408" s="303"/>
      <c r="K1408" s="324"/>
      <c r="L1408" s="303"/>
      <c r="M1408" s="303"/>
      <c r="N1408" s="303"/>
      <c r="O1408" s="303"/>
      <c r="P1408" s="303"/>
      <c r="Q1408" s="25"/>
      <c r="R1408" s="25"/>
      <c r="S1408" s="25"/>
      <c r="T1408" s="25"/>
      <c r="U1408" s="25"/>
    </row>
    <row r="1409" spans="6:21">
      <c r="F1409" s="303"/>
      <c r="G1409" s="303"/>
      <c r="J1409" s="303"/>
      <c r="K1409" s="324"/>
      <c r="L1409" s="303"/>
      <c r="M1409" s="303"/>
      <c r="N1409" s="303"/>
      <c r="O1409" s="303"/>
      <c r="P1409" s="303"/>
      <c r="Q1409" s="25"/>
      <c r="R1409" s="25"/>
      <c r="S1409" s="25"/>
      <c r="T1409" s="25"/>
      <c r="U1409" s="25"/>
    </row>
    <row r="1410" spans="6:21">
      <c r="F1410" s="303"/>
      <c r="G1410" s="303"/>
      <c r="J1410" s="303"/>
      <c r="K1410" s="324"/>
      <c r="L1410" s="303"/>
      <c r="M1410" s="303"/>
      <c r="N1410" s="303"/>
      <c r="O1410" s="303"/>
      <c r="P1410" s="303"/>
      <c r="Q1410" s="25"/>
      <c r="R1410" s="25"/>
      <c r="S1410" s="25"/>
      <c r="T1410" s="25"/>
      <c r="U1410" s="25"/>
    </row>
    <row r="1411" spans="6:21">
      <c r="F1411" s="303"/>
      <c r="G1411" s="303"/>
      <c r="J1411" s="303"/>
      <c r="K1411" s="324"/>
      <c r="L1411" s="303"/>
      <c r="M1411" s="303"/>
      <c r="N1411" s="303"/>
      <c r="O1411" s="303"/>
      <c r="P1411" s="303"/>
      <c r="Q1411" s="25"/>
      <c r="R1411" s="25"/>
      <c r="S1411" s="25"/>
      <c r="T1411" s="25"/>
      <c r="U1411" s="25"/>
    </row>
    <row r="1412" spans="6:21">
      <c r="F1412" s="303"/>
      <c r="G1412" s="303"/>
      <c r="J1412" s="303"/>
      <c r="K1412" s="324"/>
      <c r="L1412" s="303"/>
      <c r="M1412" s="303"/>
      <c r="N1412" s="303"/>
      <c r="O1412" s="303"/>
      <c r="P1412" s="303"/>
      <c r="Q1412" s="25"/>
      <c r="R1412" s="25"/>
      <c r="S1412" s="25"/>
      <c r="T1412" s="25"/>
      <c r="U1412" s="25"/>
    </row>
    <row r="1413" spans="6:21">
      <c r="F1413" s="303"/>
      <c r="G1413" s="303"/>
      <c r="J1413" s="303"/>
      <c r="K1413" s="324"/>
      <c r="L1413" s="303"/>
      <c r="M1413" s="303"/>
      <c r="N1413" s="303"/>
      <c r="O1413" s="303"/>
      <c r="P1413" s="303"/>
      <c r="Q1413" s="25"/>
      <c r="R1413" s="25"/>
      <c r="S1413" s="25"/>
      <c r="T1413" s="25"/>
      <c r="U1413" s="25"/>
    </row>
    <row r="1414" spans="6:21">
      <c r="F1414" s="303"/>
      <c r="G1414" s="303"/>
      <c r="J1414" s="303"/>
      <c r="K1414" s="324"/>
      <c r="L1414" s="303"/>
      <c r="M1414" s="303"/>
      <c r="N1414" s="303"/>
      <c r="O1414" s="303"/>
      <c r="P1414" s="303"/>
      <c r="Q1414" s="25"/>
      <c r="R1414" s="25"/>
      <c r="S1414" s="25"/>
      <c r="T1414" s="25"/>
      <c r="U1414" s="25"/>
    </row>
    <row r="1415" spans="6:21">
      <c r="F1415" s="303"/>
      <c r="G1415" s="303"/>
      <c r="J1415" s="303"/>
      <c r="K1415" s="324"/>
      <c r="L1415" s="303"/>
      <c r="M1415" s="303"/>
      <c r="N1415" s="303"/>
      <c r="O1415" s="303"/>
      <c r="P1415" s="303"/>
      <c r="Q1415" s="25"/>
      <c r="R1415" s="25"/>
      <c r="S1415" s="25"/>
      <c r="T1415" s="25"/>
      <c r="U1415" s="25"/>
    </row>
    <row r="1416" spans="6:21">
      <c r="F1416" s="303"/>
      <c r="G1416" s="303"/>
      <c r="J1416" s="303"/>
      <c r="K1416" s="324"/>
      <c r="L1416" s="303"/>
      <c r="M1416" s="303"/>
      <c r="N1416" s="303"/>
      <c r="O1416" s="303"/>
      <c r="P1416" s="303"/>
      <c r="Q1416" s="25"/>
      <c r="R1416" s="25"/>
      <c r="S1416" s="25"/>
      <c r="T1416" s="25"/>
      <c r="U1416" s="25"/>
    </row>
    <row r="1417" spans="6:21">
      <c r="F1417" s="303"/>
      <c r="G1417" s="303"/>
      <c r="J1417" s="303"/>
      <c r="K1417" s="324"/>
      <c r="L1417" s="303"/>
      <c r="M1417" s="303"/>
      <c r="N1417" s="303"/>
      <c r="O1417" s="303"/>
      <c r="P1417" s="303"/>
      <c r="Q1417" s="25"/>
      <c r="R1417" s="25"/>
      <c r="S1417" s="25"/>
      <c r="T1417" s="25"/>
      <c r="U1417" s="25"/>
    </row>
    <row r="1418" spans="6:21">
      <c r="F1418" s="303"/>
      <c r="G1418" s="303"/>
      <c r="J1418" s="303"/>
      <c r="K1418" s="324"/>
      <c r="L1418" s="303"/>
      <c r="M1418" s="303"/>
      <c r="N1418" s="303"/>
      <c r="O1418" s="303"/>
      <c r="P1418" s="303"/>
      <c r="Q1418" s="25"/>
      <c r="R1418" s="25"/>
      <c r="S1418" s="25"/>
      <c r="T1418" s="25"/>
      <c r="U1418" s="25"/>
    </row>
    <row r="1419" spans="6:21">
      <c r="F1419" s="303"/>
      <c r="G1419" s="303"/>
      <c r="J1419" s="303"/>
      <c r="K1419" s="324"/>
      <c r="L1419" s="303"/>
      <c r="M1419" s="303"/>
      <c r="N1419" s="303"/>
      <c r="O1419" s="303"/>
      <c r="P1419" s="303"/>
      <c r="Q1419" s="25"/>
      <c r="R1419" s="25"/>
      <c r="S1419" s="25"/>
      <c r="T1419" s="25"/>
      <c r="U1419" s="25"/>
    </row>
    <row r="1420" spans="6:21">
      <c r="F1420" s="303"/>
      <c r="G1420" s="303"/>
      <c r="J1420" s="303"/>
      <c r="K1420" s="324"/>
      <c r="L1420" s="303"/>
      <c r="M1420" s="303"/>
      <c r="N1420" s="303"/>
      <c r="O1420" s="303"/>
      <c r="P1420" s="303"/>
      <c r="Q1420" s="25"/>
      <c r="R1420" s="25"/>
      <c r="S1420" s="25"/>
      <c r="T1420" s="25"/>
      <c r="U1420" s="25"/>
    </row>
    <row r="1421" spans="6:21">
      <c r="F1421" s="303"/>
      <c r="G1421" s="303"/>
      <c r="J1421" s="303"/>
      <c r="K1421" s="324"/>
      <c r="L1421" s="303"/>
      <c r="M1421" s="303"/>
      <c r="N1421" s="303"/>
      <c r="O1421" s="303"/>
      <c r="P1421" s="303"/>
      <c r="Q1421" s="25"/>
      <c r="R1421" s="25"/>
      <c r="S1421" s="25"/>
      <c r="T1421" s="25"/>
      <c r="U1421" s="25"/>
    </row>
    <row r="1422" spans="6:21">
      <c r="F1422" s="303"/>
      <c r="G1422" s="303"/>
      <c r="J1422" s="303"/>
      <c r="K1422" s="324"/>
      <c r="L1422" s="303"/>
      <c r="M1422" s="303"/>
      <c r="N1422" s="303"/>
      <c r="O1422" s="303"/>
      <c r="P1422" s="303"/>
      <c r="Q1422" s="25"/>
      <c r="R1422" s="25"/>
      <c r="S1422" s="25"/>
      <c r="T1422" s="25"/>
      <c r="U1422" s="25"/>
    </row>
    <row r="1423" spans="6:21">
      <c r="F1423" s="303"/>
      <c r="G1423" s="303"/>
      <c r="J1423" s="303"/>
      <c r="K1423" s="324"/>
      <c r="L1423" s="303"/>
      <c r="M1423" s="303"/>
      <c r="N1423" s="303"/>
      <c r="O1423" s="303"/>
      <c r="P1423" s="303"/>
      <c r="Q1423" s="25"/>
      <c r="R1423" s="25"/>
      <c r="S1423" s="25"/>
      <c r="T1423" s="25"/>
      <c r="U1423" s="25"/>
    </row>
    <row r="1424" spans="6:21">
      <c r="F1424" s="303"/>
      <c r="G1424" s="303"/>
      <c r="J1424" s="303"/>
      <c r="K1424" s="324"/>
      <c r="L1424" s="303"/>
      <c r="M1424" s="303"/>
      <c r="N1424" s="303"/>
      <c r="O1424" s="303"/>
      <c r="P1424" s="303"/>
      <c r="Q1424" s="25"/>
      <c r="R1424" s="25"/>
      <c r="S1424" s="25"/>
      <c r="T1424" s="25"/>
      <c r="U1424" s="25"/>
    </row>
    <row r="1425" spans="6:21">
      <c r="F1425" s="303"/>
      <c r="G1425" s="303"/>
      <c r="J1425" s="303"/>
      <c r="K1425" s="324"/>
      <c r="L1425" s="303"/>
      <c r="M1425" s="303"/>
      <c r="N1425" s="303"/>
      <c r="O1425" s="303"/>
      <c r="P1425" s="303"/>
      <c r="Q1425" s="25"/>
      <c r="R1425" s="25"/>
      <c r="S1425" s="25"/>
      <c r="T1425" s="25"/>
      <c r="U1425" s="25"/>
    </row>
    <row r="1426" spans="6:21">
      <c r="F1426" s="303"/>
      <c r="G1426" s="303"/>
      <c r="J1426" s="303"/>
      <c r="K1426" s="324"/>
      <c r="L1426" s="303"/>
      <c r="M1426" s="303"/>
      <c r="N1426" s="303"/>
      <c r="O1426" s="303"/>
      <c r="P1426" s="303"/>
      <c r="Q1426" s="25"/>
      <c r="R1426" s="25"/>
      <c r="S1426" s="25"/>
      <c r="T1426" s="25"/>
      <c r="U1426" s="25"/>
    </row>
    <row r="1427" spans="6:21">
      <c r="F1427" s="303"/>
      <c r="G1427" s="303"/>
      <c r="J1427" s="303"/>
      <c r="K1427" s="324"/>
      <c r="L1427" s="303"/>
      <c r="M1427" s="303"/>
      <c r="N1427" s="303"/>
      <c r="O1427" s="303"/>
      <c r="P1427" s="303"/>
      <c r="Q1427" s="25"/>
      <c r="R1427" s="25"/>
      <c r="S1427" s="25"/>
      <c r="T1427" s="25"/>
      <c r="U1427" s="25"/>
    </row>
    <row r="1428" spans="6:21">
      <c r="F1428" s="303"/>
      <c r="G1428" s="303"/>
      <c r="J1428" s="303"/>
      <c r="K1428" s="324"/>
      <c r="L1428" s="303"/>
      <c r="M1428" s="303"/>
      <c r="N1428" s="303"/>
      <c r="O1428" s="303"/>
      <c r="P1428" s="303"/>
      <c r="Q1428" s="25"/>
      <c r="R1428" s="25"/>
      <c r="S1428" s="25"/>
      <c r="T1428" s="25"/>
      <c r="U1428" s="25"/>
    </row>
    <row r="1429" spans="6:21">
      <c r="F1429" s="303"/>
      <c r="G1429" s="303"/>
      <c r="J1429" s="303"/>
      <c r="K1429" s="324"/>
      <c r="L1429" s="303"/>
      <c r="M1429" s="303"/>
      <c r="N1429" s="303"/>
      <c r="O1429" s="303"/>
      <c r="P1429" s="303"/>
      <c r="Q1429" s="25"/>
      <c r="R1429" s="25"/>
      <c r="S1429" s="25"/>
      <c r="T1429" s="25"/>
      <c r="U1429" s="25"/>
    </row>
    <row r="1430" spans="6:21">
      <c r="F1430" s="303"/>
      <c r="G1430" s="303"/>
      <c r="J1430" s="303"/>
      <c r="K1430" s="324"/>
      <c r="L1430" s="303"/>
      <c r="M1430" s="303"/>
      <c r="N1430" s="303"/>
      <c r="O1430" s="303"/>
      <c r="P1430" s="303"/>
      <c r="Q1430" s="25"/>
      <c r="R1430" s="25"/>
      <c r="S1430" s="25"/>
      <c r="T1430" s="25"/>
      <c r="U1430" s="25"/>
    </row>
    <row r="1431" spans="6:21">
      <c r="F1431" s="303"/>
      <c r="G1431" s="303"/>
      <c r="J1431" s="303"/>
      <c r="K1431" s="324"/>
      <c r="L1431" s="303"/>
      <c r="M1431" s="303"/>
      <c r="N1431" s="303"/>
      <c r="O1431" s="303"/>
      <c r="P1431" s="303"/>
      <c r="Q1431" s="25"/>
      <c r="R1431" s="25"/>
      <c r="S1431" s="25"/>
      <c r="T1431" s="25"/>
      <c r="U1431" s="25"/>
    </row>
    <row r="1432" spans="6:21">
      <c r="F1432" s="303"/>
      <c r="G1432" s="303"/>
      <c r="J1432" s="303"/>
      <c r="K1432" s="324"/>
      <c r="L1432" s="303"/>
      <c r="M1432" s="303"/>
      <c r="N1432" s="303"/>
      <c r="O1432" s="303"/>
      <c r="P1432" s="303"/>
      <c r="Q1432" s="25"/>
      <c r="R1432" s="25"/>
      <c r="S1432" s="25"/>
      <c r="T1432" s="25"/>
      <c r="U1432" s="25"/>
    </row>
    <row r="1433" spans="6:21">
      <c r="F1433" s="303"/>
      <c r="G1433" s="303"/>
      <c r="J1433" s="303"/>
      <c r="K1433" s="324"/>
      <c r="L1433" s="303"/>
      <c r="M1433" s="303"/>
      <c r="N1433" s="303"/>
      <c r="O1433" s="303"/>
      <c r="P1433" s="303"/>
      <c r="Q1433" s="25"/>
      <c r="R1433" s="25"/>
      <c r="S1433" s="25"/>
      <c r="T1433" s="25"/>
      <c r="U1433" s="25"/>
    </row>
    <row r="1434" spans="6:21">
      <c r="F1434" s="303"/>
      <c r="G1434" s="303"/>
      <c r="J1434" s="303"/>
      <c r="K1434" s="324"/>
      <c r="L1434" s="303"/>
      <c r="M1434" s="303"/>
      <c r="N1434" s="303"/>
      <c r="O1434" s="303"/>
      <c r="P1434" s="303"/>
      <c r="Q1434" s="25"/>
      <c r="R1434" s="25"/>
      <c r="S1434" s="25"/>
      <c r="T1434" s="25"/>
      <c r="U1434" s="25"/>
    </row>
    <row r="1435" spans="6:21">
      <c r="F1435" s="303"/>
      <c r="G1435" s="303"/>
      <c r="J1435" s="303"/>
      <c r="K1435" s="324"/>
      <c r="L1435" s="303"/>
      <c r="M1435" s="303"/>
      <c r="N1435" s="303"/>
      <c r="O1435" s="303"/>
      <c r="P1435" s="303"/>
      <c r="Q1435" s="25"/>
      <c r="R1435" s="25"/>
      <c r="S1435" s="25"/>
      <c r="T1435" s="25"/>
      <c r="U1435" s="25"/>
    </row>
    <row r="1436" spans="6:21">
      <c r="F1436" s="303"/>
      <c r="G1436" s="303"/>
      <c r="J1436" s="303"/>
      <c r="K1436" s="324"/>
      <c r="L1436" s="303"/>
      <c r="M1436" s="303"/>
      <c r="N1436" s="303"/>
      <c r="O1436" s="303"/>
      <c r="P1436" s="303"/>
      <c r="Q1436" s="25"/>
      <c r="R1436" s="25"/>
      <c r="S1436" s="25"/>
      <c r="T1436" s="25"/>
      <c r="U1436" s="25"/>
    </row>
    <row r="1437" spans="6:21">
      <c r="F1437" s="303"/>
      <c r="G1437" s="303"/>
      <c r="J1437" s="303"/>
      <c r="K1437" s="324"/>
      <c r="L1437" s="303"/>
      <c r="M1437" s="303"/>
      <c r="N1437" s="303"/>
      <c r="O1437" s="303"/>
      <c r="P1437" s="303"/>
      <c r="Q1437" s="25"/>
      <c r="R1437" s="25"/>
      <c r="S1437" s="25"/>
      <c r="T1437" s="25"/>
      <c r="U1437" s="25"/>
    </row>
    <row r="1438" spans="6:21">
      <c r="F1438" s="303"/>
      <c r="G1438" s="303"/>
      <c r="J1438" s="303"/>
      <c r="K1438" s="324"/>
      <c r="L1438" s="303"/>
      <c r="M1438" s="303"/>
      <c r="N1438" s="303"/>
      <c r="O1438" s="303"/>
      <c r="P1438" s="303"/>
      <c r="Q1438" s="25"/>
      <c r="R1438" s="25"/>
      <c r="S1438" s="25"/>
      <c r="T1438" s="25"/>
      <c r="U1438" s="25"/>
    </row>
    <row r="1439" spans="6:21">
      <c r="F1439" s="303"/>
      <c r="G1439" s="303"/>
      <c r="J1439" s="303"/>
      <c r="K1439" s="324"/>
      <c r="L1439" s="303"/>
      <c r="M1439" s="303"/>
      <c r="N1439" s="303"/>
      <c r="O1439" s="303"/>
      <c r="P1439" s="303"/>
      <c r="Q1439" s="25"/>
      <c r="R1439" s="25"/>
      <c r="S1439" s="25"/>
      <c r="T1439" s="25"/>
      <c r="U1439" s="25"/>
    </row>
    <row r="1440" spans="6:21">
      <c r="F1440" s="303"/>
      <c r="G1440" s="303"/>
      <c r="J1440" s="303"/>
      <c r="K1440" s="324"/>
      <c r="L1440" s="303"/>
      <c r="M1440" s="303"/>
      <c r="N1440" s="303"/>
      <c r="O1440" s="303"/>
      <c r="P1440" s="303"/>
      <c r="Q1440" s="25"/>
      <c r="R1440" s="25"/>
      <c r="S1440" s="25"/>
      <c r="T1440" s="25"/>
      <c r="U1440" s="25"/>
    </row>
    <row r="1441" spans="6:21">
      <c r="F1441" s="303"/>
      <c r="G1441" s="303"/>
      <c r="J1441" s="303"/>
      <c r="K1441" s="324"/>
      <c r="L1441" s="303"/>
      <c r="M1441" s="303"/>
      <c r="N1441" s="303"/>
      <c r="O1441" s="303"/>
      <c r="P1441" s="303"/>
      <c r="Q1441" s="25"/>
      <c r="R1441" s="25"/>
      <c r="S1441" s="25"/>
      <c r="T1441" s="25"/>
      <c r="U1441" s="25"/>
    </row>
    <row r="1442" spans="6:21">
      <c r="F1442" s="303"/>
      <c r="G1442" s="303"/>
      <c r="J1442" s="303"/>
      <c r="K1442" s="324"/>
      <c r="L1442" s="303"/>
      <c r="M1442" s="303"/>
      <c r="N1442" s="303"/>
      <c r="O1442" s="303"/>
      <c r="P1442" s="303"/>
      <c r="Q1442" s="25"/>
      <c r="R1442" s="25"/>
      <c r="S1442" s="25"/>
      <c r="T1442" s="25"/>
      <c r="U1442" s="25"/>
    </row>
    <row r="1443" spans="6:21">
      <c r="F1443" s="303"/>
      <c r="G1443" s="303"/>
      <c r="J1443" s="303"/>
      <c r="K1443" s="324"/>
      <c r="L1443" s="303"/>
      <c r="M1443" s="303"/>
      <c r="N1443" s="303"/>
      <c r="O1443" s="303"/>
      <c r="P1443" s="303"/>
      <c r="Q1443" s="25"/>
      <c r="R1443" s="25"/>
      <c r="S1443" s="25"/>
      <c r="T1443" s="25"/>
      <c r="U1443" s="25"/>
    </row>
    <row r="1444" spans="6:21">
      <c r="F1444" s="303"/>
      <c r="G1444" s="303"/>
      <c r="J1444" s="303"/>
      <c r="K1444" s="324"/>
      <c r="L1444" s="303"/>
      <c r="M1444" s="303"/>
      <c r="N1444" s="303"/>
      <c r="O1444" s="303"/>
      <c r="P1444" s="303"/>
      <c r="Q1444" s="25"/>
      <c r="R1444" s="25"/>
      <c r="S1444" s="25"/>
      <c r="T1444" s="25"/>
      <c r="U1444" s="25"/>
    </row>
    <row r="1445" spans="6:21">
      <c r="F1445" s="303"/>
      <c r="G1445" s="303"/>
      <c r="J1445" s="303"/>
      <c r="K1445" s="324"/>
      <c r="L1445" s="303"/>
      <c r="M1445" s="303"/>
      <c r="N1445" s="303"/>
      <c r="O1445" s="303"/>
      <c r="P1445" s="303"/>
      <c r="Q1445" s="25"/>
      <c r="R1445" s="25"/>
      <c r="S1445" s="25"/>
      <c r="T1445" s="25"/>
      <c r="U1445" s="25"/>
    </row>
    <row r="1446" spans="6:21">
      <c r="F1446" s="303"/>
      <c r="G1446" s="303"/>
      <c r="J1446" s="303"/>
      <c r="K1446" s="324"/>
      <c r="L1446" s="303"/>
      <c r="M1446" s="303"/>
      <c r="N1446" s="303"/>
      <c r="O1446" s="303"/>
      <c r="P1446" s="303"/>
      <c r="Q1446" s="25"/>
      <c r="R1446" s="25"/>
      <c r="S1446" s="25"/>
      <c r="T1446" s="25"/>
      <c r="U1446" s="25"/>
    </row>
    <row r="1447" spans="6:21">
      <c r="F1447" s="303"/>
      <c r="G1447" s="303"/>
      <c r="J1447" s="303"/>
      <c r="K1447" s="324"/>
      <c r="L1447" s="303"/>
      <c r="M1447" s="303"/>
      <c r="N1447" s="303"/>
      <c r="O1447" s="303"/>
      <c r="P1447" s="303"/>
      <c r="Q1447" s="25"/>
      <c r="R1447" s="25"/>
      <c r="S1447" s="25"/>
      <c r="T1447" s="25"/>
      <c r="U1447" s="25"/>
    </row>
    <row r="1448" spans="6:21">
      <c r="F1448" s="303"/>
      <c r="G1448" s="303"/>
      <c r="J1448" s="303"/>
      <c r="K1448" s="324"/>
      <c r="L1448" s="303"/>
      <c r="M1448" s="303"/>
      <c r="N1448" s="303"/>
      <c r="O1448" s="303"/>
      <c r="P1448" s="303"/>
      <c r="Q1448" s="25"/>
      <c r="R1448" s="25"/>
      <c r="S1448" s="25"/>
      <c r="T1448" s="25"/>
      <c r="U1448" s="25"/>
    </row>
    <row r="1449" spans="6:21">
      <c r="F1449" s="303"/>
      <c r="G1449" s="303"/>
      <c r="J1449" s="303"/>
      <c r="K1449" s="324"/>
      <c r="L1449" s="303"/>
      <c r="M1449" s="303"/>
      <c r="N1449" s="303"/>
      <c r="O1449" s="303"/>
      <c r="P1449" s="303"/>
      <c r="Q1449" s="25"/>
      <c r="R1449" s="25"/>
      <c r="S1449" s="25"/>
      <c r="T1449" s="25"/>
      <c r="U1449" s="25"/>
    </row>
    <row r="1450" spans="6:21">
      <c r="F1450" s="303"/>
      <c r="G1450" s="303"/>
      <c r="J1450" s="303"/>
      <c r="K1450" s="324"/>
      <c r="L1450" s="303"/>
      <c r="M1450" s="303"/>
      <c r="N1450" s="303"/>
      <c r="O1450" s="303"/>
      <c r="P1450" s="303"/>
      <c r="Q1450" s="25"/>
      <c r="R1450" s="25"/>
      <c r="S1450" s="25"/>
      <c r="T1450" s="25"/>
      <c r="U1450" s="25"/>
    </row>
    <row r="1451" spans="6:21">
      <c r="F1451" s="303"/>
      <c r="G1451" s="303"/>
      <c r="J1451" s="303"/>
      <c r="K1451" s="324"/>
      <c r="L1451" s="303"/>
      <c r="M1451" s="303"/>
      <c r="N1451" s="303"/>
      <c r="O1451" s="303"/>
      <c r="P1451" s="303"/>
      <c r="Q1451" s="25"/>
      <c r="R1451" s="25"/>
      <c r="S1451" s="25"/>
      <c r="T1451" s="25"/>
      <c r="U1451" s="25"/>
    </row>
    <row r="1452" spans="6:21">
      <c r="F1452" s="303"/>
      <c r="G1452" s="303"/>
      <c r="J1452" s="303"/>
      <c r="K1452" s="324"/>
      <c r="L1452" s="303"/>
      <c r="M1452" s="303"/>
      <c r="N1452" s="303"/>
      <c r="O1452" s="303"/>
      <c r="P1452" s="303"/>
      <c r="Q1452" s="25"/>
      <c r="R1452" s="25"/>
      <c r="S1452" s="25"/>
      <c r="T1452" s="25"/>
      <c r="U1452" s="25"/>
    </row>
    <row r="1453" spans="6:21">
      <c r="F1453" s="303"/>
      <c r="G1453" s="303"/>
      <c r="J1453" s="303"/>
      <c r="K1453" s="324"/>
      <c r="L1453" s="303"/>
      <c r="M1453" s="303"/>
      <c r="N1453" s="303"/>
      <c r="O1453" s="303"/>
      <c r="P1453" s="303"/>
      <c r="Q1453" s="25"/>
      <c r="R1453" s="25"/>
      <c r="S1453" s="25"/>
      <c r="T1453" s="25"/>
      <c r="U1453" s="25"/>
    </row>
    <row r="1454" spans="6:21">
      <c r="F1454" s="303"/>
      <c r="G1454" s="303"/>
      <c r="J1454" s="303"/>
      <c r="K1454" s="324"/>
      <c r="L1454" s="303"/>
      <c r="M1454" s="303"/>
      <c r="N1454" s="303"/>
      <c r="O1454" s="303"/>
      <c r="P1454" s="303"/>
      <c r="Q1454" s="25"/>
      <c r="R1454" s="25"/>
      <c r="S1454" s="25"/>
      <c r="T1454" s="25"/>
      <c r="U1454" s="25"/>
    </row>
    <row r="1455" spans="6:21">
      <c r="F1455" s="303"/>
      <c r="G1455" s="303"/>
      <c r="J1455" s="303"/>
      <c r="K1455" s="324"/>
      <c r="L1455" s="303"/>
      <c r="M1455" s="303"/>
      <c r="N1455" s="303"/>
      <c r="O1455" s="303"/>
      <c r="P1455" s="303"/>
      <c r="Q1455" s="25"/>
      <c r="R1455" s="25"/>
      <c r="S1455" s="25"/>
      <c r="T1455" s="25"/>
      <c r="U1455" s="25"/>
    </row>
    <row r="1456" spans="6:21">
      <c r="F1456" s="303"/>
      <c r="G1456" s="303"/>
      <c r="J1456" s="303"/>
      <c r="K1456" s="324"/>
      <c r="L1456" s="303"/>
      <c r="M1456" s="303"/>
      <c r="N1456" s="303"/>
      <c r="O1456" s="303"/>
      <c r="P1456" s="303"/>
      <c r="Q1456" s="25"/>
      <c r="R1456" s="25"/>
      <c r="S1456" s="25"/>
      <c r="T1456" s="25"/>
      <c r="U1456" s="25"/>
    </row>
    <row r="1457" spans="6:21">
      <c r="F1457" s="303"/>
      <c r="G1457" s="303"/>
      <c r="J1457" s="303"/>
      <c r="K1457" s="324"/>
      <c r="L1457" s="303"/>
      <c r="M1457" s="303"/>
      <c r="N1457" s="303"/>
      <c r="O1457" s="303"/>
      <c r="P1457" s="303"/>
      <c r="Q1457" s="25"/>
      <c r="R1457" s="25"/>
      <c r="S1457" s="25"/>
      <c r="T1457" s="25"/>
      <c r="U1457" s="25"/>
    </row>
    <row r="1458" spans="6:21">
      <c r="F1458" s="303"/>
      <c r="G1458" s="303"/>
      <c r="J1458" s="303"/>
      <c r="K1458" s="324"/>
      <c r="L1458" s="303"/>
      <c r="M1458" s="303"/>
      <c r="N1458" s="303"/>
      <c r="O1458" s="303"/>
      <c r="P1458" s="303"/>
      <c r="Q1458" s="25"/>
      <c r="R1458" s="25"/>
      <c r="S1458" s="25"/>
      <c r="T1458" s="25"/>
      <c r="U1458" s="25"/>
    </row>
    <row r="1459" spans="6:21">
      <c r="F1459" s="303"/>
      <c r="G1459" s="303"/>
      <c r="J1459" s="303"/>
      <c r="K1459" s="324"/>
      <c r="L1459" s="303"/>
      <c r="M1459" s="303"/>
      <c r="N1459" s="303"/>
      <c r="O1459" s="303"/>
      <c r="P1459" s="303"/>
      <c r="Q1459" s="25"/>
      <c r="R1459" s="25"/>
      <c r="S1459" s="25"/>
      <c r="T1459" s="25"/>
      <c r="U1459" s="25"/>
    </row>
    <row r="1460" spans="6:21">
      <c r="F1460" s="303"/>
      <c r="G1460" s="303"/>
      <c r="J1460" s="303"/>
      <c r="K1460" s="324"/>
      <c r="L1460" s="303"/>
      <c r="M1460" s="303"/>
      <c r="N1460" s="303"/>
      <c r="O1460" s="303"/>
      <c r="P1460" s="303"/>
      <c r="Q1460" s="25"/>
      <c r="R1460" s="25"/>
      <c r="S1460" s="25"/>
      <c r="T1460" s="25"/>
      <c r="U1460" s="25"/>
    </row>
    <row r="1461" spans="6:21">
      <c r="F1461" s="303"/>
      <c r="G1461" s="303"/>
      <c r="J1461" s="303"/>
      <c r="K1461" s="324"/>
      <c r="L1461" s="303"/>
      <c r="M1461" s="303"/>
      <c r="N1461" s="303"/>
      <c r="O1461" s="303"/>
      <c r="P1461" s="303"/>
      <c r="Q1461" s="25"/>
      <c r="R1461" s="25"/>
      <c r="S1461" s="25"/>
      <c r="T1461" s="25"/>
      <c r="U1461" s="25"/>
    </row>
    <row r="1462" spans="6:21">
      <c r="F1462" s="303"/>
      <c r="G1462" s="303"/>
      <c r="J1462" s="303"/>
      <c r="K1462" s="324"/>
      <c r="L1462" s="303"/>
      <c r="M1462" s="303"/>
      <c r="N1462" s="303"/>
      <c r="O1462" s="303"/>
      <c r="P1462" s="303"/>
      <c r="Q1462" s="25"/>
      <c r="R1462" s="25"/>
      <c r="S1462" s="25"/>
      <c r="T1462" s="25"/>
      <c r="U1462" s="25"/>
    </row>
    <row r="1463" spans="6:21">
      <c r="F1463" s="303"/>
      <c r="G1463" s="303"/>
      <c r="J1463" s="303"/>
      <c r="K1463" s="324"/>
      <c r="L1463" s="303"/>
      <c r="M1463" s="303"/>
      <c r="N1463" s="303"/>
      <c r="O1463" s="303"/>
      <c r="P1463" s="303"/>
      <c r="Q1463" s="25"/>
      <c r="R1463" s="25"/>
      <c r="S1463" s="25"/>
      <c r="T1463" s="25"/>
      <c r="U1463" s="25"/>
    </row>
    <row r="1464" spans="6:21">
      <c r="F1464" s="303"/>
      <c r="G1464" s="303"/>
      <c r="J1464" s="303"/>
      <c r="K1464" s="324"/>
      <c r="L1464" s="303"/>
      <c r="M1464" s="303"/>
      <c r="N1464" s="303"/>
      <c r="O1464" s="303"/>
      <c r="P1464" s="303"/>
      <c r="Q1464" s="25"/>
      <c r="R1464" s="25"/>
      <c r="S1464" s="25"/>
      <c r="T1464" s="25"/>
      <c r="U1464" s="25"/>
    </row>
    <row r="1465" spans="6:21">
      <c r="F1465" s="303"/>
      <c r="G1465" s="303"/>
      <c r="J1465" s="303"/>
      <c r="K1465" s="324"/>
      <c r="L1465" s="303"/>
      <c r="M1465" s="303"/>
      <c r="N1465" s="303"/>
      <c r="O1465" s="303"/>
      <c r="P1465" s="303"/>
      <c r="Q1465" s="25"/>
      <c r="R1465" s="25"/>
      <c r="S1465" s="25"/>
      <c r="T1465" s="25"/>
      <c r="U1465" s="25"/>
    </row>
    <row r="1466" spans="6:21">
      <c r="F1466" s="303"/>
      <c r="G1466" s="303"/>
      <c r="J1466" s="303"/>
      <c r="K1466" s="324"/>
      <c r="L1466" s="303"/>
      <c r="M1466" s="303"/>
      <c r="N1466" s="303"/>
      <c r="O1466" s="303"/>
      <c r="P1466" s="303"/>
      <c r="Q1466" s="25"/>
      <c r="R1466" s="25"/>
      <c r="S1466" s="25"/>
      <c r="T1466" s="25"/>
      <c r="U1466" s="25"/>
    </row>
    <row r="1467" spans="6:21">
      <c r="F1467" s="303"/>
      <c r="G1467" s="303"/>
      <c r="J1467" s="303"/>
      <c r="K1467" s="324"/>
      <c r="L1467" s="303"/>
      <c r="M1467" s="303"/>
      <c r="N1467" s="303"/>
      <c r="O1467" s="303"/>
      <c r="P1467" s="303"/>
      <c r="Q1467" s="25"/>
      <c r="R1467" s="25"/>
      <c r="S1467" s="25"/>
      <c r="T1467" s="25"/>
      <c r="U1467" s="25"/>
    </row>
    <row r="1468" spans="6:21">
      <c r="F1468" s="303"/>
      <c r="G1468" s="303"/>
      <c r="J1468" s="303"/>
      <c r="K1468" s="324"/>
      <c r="L1468" s="303"/>
      <c r="M1468" s="303"/>
      <c r="N1468" s="303"/>
      <c r="O1468" s="303"/>
      <c r="P1468" s="303"/>
      <c r="Q1468" s="25"/>
      <c r="R1468" s="25"/>
      <c r="S1468" s="25"/>
      <c r="T1468" s="25"/>
      <c r="U1468" s="25"/>
    </row>
    <row r="1469" spans="6:21">
      <c r="F1469" s="303"/>
      <c r="G1469" s="303"/>
      <c r="J1469" s="303"/>
      <c r="K1469" s="324"/>
      <c r="L1469" s="303"/>
      <c r="M1469" s="303"/>
      <c r="N1469" s="303"/>
      <c r="O1469" s="303"/>
      <c r="P1469" s="303"/>
      <c r="Q1469" s="25"/>
      <c r="R1469" s="25"/>
      <c r="S1469" s="25"/>
      <c r="T1469" s="25"/>
      <c r="U1469" s="25"/>
    </row>
    <row r="1470" spans="6:21">
      <c r="F1470" s="303"/>
      <c r="G1470" s="303"/>
      <c r="J1470" s="303"/>
      <c r="K1470" s="324"/>
      <c r="L1470" s="303"/>
      <c r="M1470" s="303"/>
      <c r="N1470" s="303"/>
      <c r="O1470" s="303"/>
      <c r="P1470" s="303"/>
      <c r="Q1470" s="25"/>
      <c r="R1470" s="25"/>
      <c r="S1470" s="25"/>
      <c r="T1470" s="25"/>
      <c r="U1470" s="25"/>
    </row>
    <row r="1471" spans="6:21">
      <c r="F1471" s="303"/>
      <c r="G1471" s="303"/>
      <c r="J1471" s="303"/>
      <c r="K1471" s="324"/>
      <c r="L1471" s="303"/>
      <c r="M1471" s="303"/>
      <c r="N1471" s="303"/>
      <c r="O1471" s="303"/>
      <c r="P1471" s="303"/>
      <c r="Q1471" s="25"/>
      <c r="R1471" s="25"/>
      <c r="S1471" s="25"/>
      <c r="T1471" s="25"/>
      <c r="U1471" s="25"/>
    </row>
    <row r="1472" spans="6:21">
      <c r="F1472" s="303"/>
      <c r="G1472" s="303"/>
      <c r="J1472" s="303"/>
      <c r="K1472" s="324"/>
      <c r="L1472" s="303"/>
      <c r="M1472" s="303"/>
      <c r="N1472" s="303"/>
      <c r="O1472" s="303"/>
      <c r="P1472" s="303"/>
      <c r="Q1472" s="25"/>
      <c r="R1472" s="25"/>
      <c r="S1472" s="25"/>
      <c r="T1472" s="25"/>
      <c r="U1472" s="25"/>
    </row>
    <row r="1473" spans="6:21">
      <c r="F1473" s="303"/>
      <c r="G1473" s="303"/>
      <c r="J1473" s="303"/>
      <c r="K1473" s="324"/>
      <c r="L1473" s="303"/>
      <c r="M1473" s="303"/>
      <c r="N1473" s="303"/>
      <c r="O1473" s="303"/>
      <c r="P1473" s="303"/>
      <c r="Q1473" s="25"/>
      <c r="R1473" s="25"/>
      <c r="S1473" s="25"/>
      <c r="T1473" s="25"/>
      <c r="U1473" s="25"/>
    </row>
    <row r="1474" spans="6:21">
      <c r="F1474" s="303"/>
      <c r="G1474" s="303"/>
      <c r="J1474" s="303"/>
      <c r="K1474" s="324"/>
      <c r="L1474" s="303"/>
      <c r="M1474" s="303"/>
      <c r="N1474" s="303"/>
      <c r="O1474" s="303"/>
      <c r="P1474" s="303"/>
      <c r="Q1474" s="25"/>
      <c r="R1474" s="25"/>
      <c r="S1474" s="25"/>
      <c r="T1474" s="25"/>
      <c r="U1474" s="25"/>
    </row>
    <row r="1475" spans="6:21">
      <c r="F1475" s="303"/>
      <c r="G1475" s="303"/>
      <c r="J1475" s="303"/>
      <c r="K1475" s="324"/>
      <c r="L1475" s="303"/>
      <c r="M1475" s="303"/>
      <c r="N1475" s="303"/>
      <c r="O1475" s="303"/>
      <c r="P1475" s="303"/>
      <c r="Q1475" s="25"/>
      <c r="R1475" s="25"/>
      <c r="S1475" s="25"/>
      <c r="T1475" s="25"/>
      <c r="U1475" s="25"/>
    </row>
    <row r="1476" spans="6:21">
      <c r="F1476" s="303"/>
      <c r="G1476" s="303"/>
      <c r="J1476" s="303"/>
      <c r="K1476" s="324"/>
      <c r="L1476" s="303"/>
      <c r="M1476" s="303"/>
      <c r="N1476" s="303"/>
      <c r="O1476" s="303"/>
      <c r="P1476" s="303"/>
      <c r="Q1476" s="25"/>
      <c r="R1476" s="25"/>
      <c r="S1476" s="25"/>
      <c r="T1476" s="25"/>
      <c r="U1476" s="25"/>
    </row>
    <row r="1477" spans="6:21">
      <c r="F1477" s="303"/>
      <c r="G1477" s="303"/>
      <c r="J1477" s="303"/>
      <c r="K1477" s="324"/>
      <c r="L1477" s="303"/>
      <c r="M1477" s="303"/>
      <c r="N1477" s="303"/>
      <c r="O1477" s="303"/>
      <c r="P1477" s="303"/>
      <c r="Q1477" s="25"/>
      <c r="R1477" s="25"/>
      <c r="S1477" s="25"/>
      <c r="T1477" s="25"/>
      <c r="U1477" s="25"/>
    </row>
    <row r="1478" spans="6:21">
      <c r="F1478" s="303"/>
      <c r="G1478" s="303"/>
      <c r="J1478" s="303"/>
      <c r="K1478" s="324"/>
      <c r="L1478" s="303"/>
      <c r="M1478" s="303"/>
      <c r="N1478" s="303"/>
      <c r="O1478" s="303"/>
      <c r="P1478" s="303"/>
      <c r="Q1478" s="25"/>
      <c r="R1478" s="25"/>
      <c r="S1478" s="25"/>
      <c r="T1478" s="25"/>
      <c r="U1478" s="25"/>
    </row>
    <row r="1479" spans="6:21">
      <c r="F1479" s="303"/>
      <c r="G1479" s="303"/>
      <c r="J1479" s="303"/>
      <c r="K1479" s="324"/>
      <c r="L1479" s="303"/>
      <c r="M1479" s="303"/>
      <c r="N1479" s="303"/>
      <c r="O1479" s="303"/>
      <c r="P1479" s="303"/>
      <c r="Q1479" s="25"/>
      <c r="R1479" s="25"/>
      <c r="S1479" s="25"/>
      <c r="T1479" s="25"/>
      <c r="U1479" s="25"/>
    </row>
    <row r="1480" spans="6:21">
      <c r="F1480" s="303"/>
      <c r="G1480" s="303"/>
      <c r="J1480" s="303"/>
      <c r="K1480" s="324"/>
      <c r="L1480" s="303"/>
      <c r="M1480" s="303"/>
      <c r="N1480" s="303"/>
      <c r="O1480" s="303"/>
      <c r="P1480" s="303"/>
      <c r="Q1480" s="25"/>
      <c r="R1480" s="25"/>
      <c r="S1480" s="25"/>
      <c r="T1480" s="25"/>
      <c r="U1480" s="25"/>
    </row>
    <row r="1481" spans="6:21">
      <c r="F1481" s="303"/>
      <c r="G1481" s="303"/>
      <c r="J1481" s="303"/>
      <c r="K1481" s="324"/>
      <c r="L1481" s="303"/>
      <c r="M1481" s="303"/>
      <c r="N1481" s="303"/>
      <c r="O1481" s="303"/>
      <c r="P1481" s="303"/>
      <c r="Q1481" s="25"/>
      <c r="R1481" s="25"/>
      <c r="S1481" s="25"/>
      <c r="T1481" s="25"/>
      <c r="U1481" s="25"/>
    </row>
    <row r="1482" spans="6:21">
      <c r="F1482" s="303"/>
      <c r="G1482" s="303"/>
      <c r="J1482" s="303"/>
      <c r="K1482" s="324"/>
      <c r="L1482" s="303"/>
      <c r="M1482" s="303"/>
      <c r="N1482" s="303"/>
      <c r="O1482" s="303"/>
      <c r="P1482" s="303"/>
      <c r="Q1482" s="25"/>
      <c r="R1482" s="25"/>
      <c r="S1482" s="25"/>
      <c r="T1482" s="25"/>
      <c r="U1482" s="25"/>
    </row>
    <row r="1483" spans="6:21">
      <c r="F1483" s="303"/>
      <c r="G1483" s="303"/>
      <c r="J1483" s="303"/>
      <c r="K1483" s="324"/>
      <c r="L1483" s="303"/>
      <c r="M1483" s="303"/>
      <c r="N1483" s="303"/>
      <c r="O1483" s="303"/>
      <c r="P1483" s="303"/>
      <c r="Q1483" s="25"/>
      <c r="R1483" s="25"/>
      <c r="S1483" s="25"/>
      <c r="T1483" s="25"/>
      <c r="U1483" s="25"/>
    </row>
    <row r="1484" spans="6:21">
      <c r="F1484" s="303"/>
      <c r="G1484" s="303"/>
      <c r="J1484" s="303"/>
      <c r="K1484" s="324"/>
      <c r="L1484" s="303"/>
      <c r="M1484" s="303"/>
      <c r="N1484" s="303"/>
      <c r="O1484" s="303"/>
      <c r="P1484" s="303"/>
      <c r="Q1484" s="25"/>
      <c r="R1484" s="25"/>
      <c r="S1484" s="25"/>
      <c r="T1484" s="25"/>
      <c r="U1484" s="25"/>
    </row>
    <row r="1485" spans="6:21">
      <c r="F1485" s="303"/>
      <c r="G1485" s="303"/>
      <c r="J1485" s="303"/>
      <c r="K1485" s="324"/>
      <c r="L1485" s="303"/>
      <c r="M1485" s="303"/>
      <c r="N1485" s="303"/>
      <c r="O1485" s="303"/>
      <c r="P1485" s="303"/>
      <c r="Q1485" s="25"/>
      <c r="R1485" s="25"/>
      <c r="S1485" s="25"/>
      <c r="T1485" s="25"/>
      <c r="U1485" s="25"/>
    </row>
    <row r="1486" spans="6:21">
      <c r="F1486" s="303"/>
      <c r="G1486" s="303"/>
      <c r="J1486" s="303"/>
      <c r="K1486" s="324"/>
      <c r="L1486" s="303"/>
      <c r="M1486" s="303"/>
      <c r="N1486" s="303"/>
      <c r="O1486" s="303"/>
      <c r="P1486" s="303"/>
      <c r="Q1486" s="25"/>
      <c r="R1486" s="25"/>
      <c r="S1486" s="25"/>
      <c r="T1486" s="25"/>
      <c r="U1486" s="25"/>
    </row>
    <row r="1487" spans="6:21">
      <c r="F1487" s="303"/>
      <c r="G1487" s="303"/>
      <c r="J1487" s="303"/>
      <c r="K1487" s="324"/>
      <c r="L1487" s="303"/>
      <c r="M1487" s="303"/>
      <c r="N1487" s="303"/>
      <c r="O1487" s="303"/>
      <c r="P1487" s="303"/>
      <c r="Q1487" s="25"/>
      <c r="R1487" s="25"/>
      <c r="S1487" s="25"/>
      <c r="T1487" s="25"/>
      <c r="U1487" s="25"/>
    </row>
    <row r="1488" spans="6:21">
      <c r="F1488" s="303"/>
      <c r="G1488" s="303"/>
      <c r="J1488" s="303"/>
      <c r="K1488" s="324"/>
      <c r="L1488" s="303"/>
      <c r="M1488" s="303"/>
      <c r="N1488" s="303"/>
      <c r="O1488" s="303"/>
      <c r="P1488" s="303"/>
      <c r="Q1488" s="25"/>
      <c r="R1488" s="25"/>
      <c r="S1488" s="25"/>
      <c r="T1488" s="25"/>
      <c r="U1488" s="25"/>
    </row>
    <row r="1489" spans="6:21">
      <c r="F1489" s="303"/>
      <c r="G1489" s="303"/>
      <c r="J1489" s="303"/>
      <c r="K1489" s="324"/>
      <c r="L1489" s="303"/>
      <c r="M1489" s="303"/>
      <c r="N1489" s="303"/>
      <c r="O1489" s="303"/>
      <c r="P1489" s="303"/>
      <c r="Q1489" s="25"/>
      <c r="R1489" s="25"/>
      <c r="S1489" s="25"/>
      <c r="T1489" s="25"/>
      <c r="U1489" s="25"/>
    </row>
    <row r="1490" spans="6:21">
      <c r="F1490" s="303"/>
      <c r="G1490" s="303"/>
      <c r="J1490" s="303"/>
      <c r="K1490" s="324"/>
      <c r="L1490" s="303"/>
      <c r="M1490" s="303"/>
      <c r="N1490" s="303"/>
      <c r="O1490" s="303"/>
      <c r="P1490" s="303"/>
      <c r="Q1490" s="25"/>
      <c r="R1490" s="25"/>
      <c r="S1490" s="25"/>
      <c r="T1490" s="25"/>
      <c r="U1490" s="25"/>
    </row>
    <row r="1491" spans="6:21">
      <c r="F1491" s="303"/>
      <c r="G1491" s="303"/>
      <c r="J1491" s="303"/>
      <c r="K1491" s="324"/>
      <c r="L1491" s="303"/>
      <c r="M1491" s="303"/>
      <c r="N1491" s="303"/>
      <c r="O1491" s="303"/>
      <c r="P1491" s="303"/>
      <c r="Q1491" s="25"/>
      <c r="R1491" s="25"/>
      <c r="S1491" s="25"/>
      <c r="T1491" s="25"/>
      <c r="U1491" s="25"/>
    </row>
    <row r="1492" spans="6:21">
      <c r="F1492" s="303"/>
      <c r="G1492" s="303"/>
      <c r="J1492" s="303"/>
      <c r="K1492" s="324"/>
      <c r="L1492" s="303"/>
      <c r="M1492" s="303"/>
      <c r="N1492" s="303"/>
      <c r="O1492" s="303"/>
      <c r="P1492" s="303"/>
      <c r="Q1492" s="25"/>
      <c r="R1492" s="25"/>
      <c r="S1492" s="25"/>
      <c r="T1492" s="25"/>
      <c r="U1492" s="25"/>
    </row>
    <row r="1493" spans="6:21">
      <c r="F1493" s="303"/>
      <c r="G1493" s="303"/>
      <c r="J1493" s="303"/>
      <c r="K1493" s="324"/>
      <c r="L1493" s="303"/>
      <c r="M1493" s="303"/>
      <c r="N1493" s="303"/>
      <c r="O1493" s="303"/>
      <c r="P1493" s="303"/>
      <c r="Q1493" s="25"/>
      <c r="R1493" s="25"/>
      <c r="S1493" s="25"/>
      <c r="T1493" s="25"/>
      <c r="U1493" s="25"/>
    </row>
    <row r="1494" spans="6:21">
      <c r="F1494" s="303"/>
      <c r="G1494" s="303"/>
      <c r="J1494" s="303"/>
      <c r="K1494" s="324"/>
      <c r="L1494" s="303"/>
      <c r="M1494" s="303"/>
      <c r="N1494" s="303"/>
      <c r="O1494" s="303"/>
      <c r="P1494" s="303"/>
      <c r="Q1494" s="25"/>
      <c r="R1494" s="25"/>
      <c r="S1494" s="25"/>
      <c r="T1494" s="25"/>
      <c r="U1494" s="25"/>
    </row>
    <row r="1495" spans="6:21">
      <c r="F1495" s="303"/>
      <c r="G1495" s="303"/>
      <c r="J1495" s="303"/>
      <c r="K1495" s="324"/>
      <c r="L1495" s="303"/>
      <c r="M1495" s="303"/>
      <c r="N1495" s="303"/>
      <c r="O1495" s="303"/>
      <c r="P1495" s="303"/>
      <c r="Q1495" s="25"/>
      <c r="R1495" s="25"/>
      <c r="S1495" s="25"/>
      <c r="T1495" s="25"/>
      <c r="U1495" s="25"/>
    </row>
    <row r="1496" spans="6:21">
      <c r="F1496" s="303"/>
      <c r="G1496" s="303"/>
      <c r="J1496" s="303"/>
      <c r="K1496" s="324"/>
      <c r="L1496" s="303"/>
      <c r="M1496" s="303"/>
      <c r="N1496" s="303"/>
      <c r="O1496" s="303"/>
      <c r="P1496" s="303"/>
      <c r="Q1496" s="25"/>
      <c r="R1496" s="25"/>
      <c r="S1496" s="25"/>
      <c r="T1496" s="25"/>
      <c r="U1496" s="25"/>
    </row>
    <row r="1497" spans="6:21">
      <c r="F1497" s="303"/>
      <c r="G1497" s="303"/>
      <c r="J1497" s="303"/>
      <c r="K1497" s="324"/>
      <c r="L1497" s="303"/>
      <c r="M1497" s="303"/>
      <c r="N1497" s="303"/>
      <c r="O1497" s="303"/>
      <c r="P1497" s="303"/>
      <c r="Q1497" s="25"/>
      <c r="R1497" s="25"/>
      <c r="S1497" s="25"/>
      <c r="T1497" s="25"/>
      <c r="U1497" s="25"/>
    </row>
    <row r="1498" spans="6:21">
      <c r="F1498" s="303"/>
      <c r="G1498" s="303"/>
      <c r="J1498" s="303"/>
      <c r="K1498" s="324"/>
      <c r="L1498" s="303"/>
      <c r="M1498" s="303"/>
      <c r="N1498" s="303"/>
      <c r="O1498" s="303"/>
      <c r="P1498" s="303"/>
      <c r="Q1498" s="25"/>
      <c r="R1498" s="25"/>
      <c r="S1498" s="25"/>
      <c r="T1498" s="25"/>
      <c r="U1498" s="25"/>
    </row>
    <row r="1499" spans="6:21">
      <c r="F1499" s="303"/>
      <c r="G1499" s="303"/>
      <c r="J1499" s="303"/>
      <c r="K1499" s="324"/>
      <c r="L1499" s="303"/>
      <c r="M1499" s="303"/>
      <c r="N1499" s="303"/>
      <c r="O1499" s="303"/>
      <c r="P1499" s="303"/>
      <c r="Q1499" s="25"/>
      <c r="R1499" s="25"/>
      <c r="S1499" s="25"/>
      <c r="T1499" s="25"/>
      <c r="U1499" s="25"/>
    </row>
    <row r="1500" spans="6:21">
      <c r="F1500" s="303"/>
      <c r="G1500" s="303"/>
      <c r="J1500" s="303"/>
      <c r="K1500" s="324"/>
      <c r="L1500" s="303"/>
      <c r="M1500" s="303"/>
      <c r="N1500" s="303"/>
      <c r="O1500" s="303"/>
      <c r="P1500" s="303"/>
      <c r="Q1500" s="25"/>
      <c r="R1500" s="25"/>
      <c r="S1500" s="25"/>
      <c r="T1500" s="25"/>
      <c r="U1500" s="25"/>
    </row>
    <row r="1501" spans="6:21">
      <c r="F1501" s="303"/>
      <c r="G1501" s="303"/>
      <c r="J1501" s="303"/>
      <c r="K1501" s="324"/>
      <c r="L1501" s="303"/>
      <c r="M1501" s="303"/>
      <c r="N1501" s="303"/>
      <c r="O1501" s="303"/>
      <c r="P1501" s="303"/>
      <c r="Q1501" s="25"/>
      <c r="R1501" s="25"/>
      <c r="S1501" s="25"/>
      <c r="T1501" s="25"/>
      <c r="U1501" s="25"/>
    </row>
    <row r="1502" spans="6:21">
      <c r="F1502" s="303"/>
      <c r="G1502" s="303"/>
      <c r="J1502" s="303"/>
      <c r="K1502" s="324"/>
      <c r="L1502" s="303"/>
      <c r="M1502" s="303"/>
      <c r="N1502" s="303"/>
      <c r="O1502" s="303"/>
      <c r="P1502" s="303"/>
      <c r="Q1502" s="25"/>
      <c r="R1502" s="25"/>
      <c r="S1502" s="25"/>
      <c r="T1502" s="25"/>
      <c r="U1502" s="25"/>
    </row>
    <row r="1503" spans="6:21">
      <c r="F1503" s="303"/>
      <c r="G1503" s="303"/>
      <c r="J1503" s="303"/>
      <c r="K1503" s="324"/>
      <c r="L1503" s="303"/>
      <c r="M1503" s="303"/>
      <c r="N1503" s="303"/>
      <c r="O1503" s="303"/>
      <c r="P1503" s="303"/>
      <c r="Q1503" s="25"/>
      <c r="R1503" s="25"/>
      <c r="S1503" s="25"/>
      <c r="T1503" s="25"/>
      <c r="U1503" s="25"/>
    </row>
    <row r="1504" spans="6:21">
      <c r="F1504" s="303"/>
      <c r="G1504" s="303"/>
      <c r="J1504" s="303"/>
      <c r="K1504" s="324"/>
      <c r="L1504" s="303"/>
      <c r="M1504" s="303"/>
      <c r="N1504" s="303"/>
      <c r="O1504" s="303"/>
      <c r="P1504" s="303"/>
      <c r="Q1504" s="25"/>
      <c r="R1504" s="25"/>
      <c r="S1504" s="25"/>
      <c r="T1504" s="25"/>
      <c r="U1504" s="25"/>
    </row>
    <row r="1505" spans="6:21">
      <c r="F1505" s="303"/>
      <c r="G1505" s="303"/>
      <c r="J1505" s="303"/>
      <c r="K1505" s="324"/>
      <c r="L1505" s="303"/>
      <c r="M1505" s="303"/>
      <c r="N1505" s="303"/>
      <c r="O1505" s="303"/>
      <c r="P1505" s="303"/>
      <c r="Q1505" s="25"/>
      <c r="R1505" s="25"/>
      <c r="S1505" s="25"/>
      <c r="T1505" s="25"/>
      <c r="U1505" s="25"/>
    </row>
    <row r="1506" spans="6:21">
      <c r="F1506" s="303"/>
      <c r="G1506" s="303"/>
      <c r="J1506" s="303"/>
      <c r="K1506" s="324"/>
      <c r="L1506" s="303"/>
      <c r="M1506" s="303"/>
      <c r="N1506" s="303"/>
      <c r="O1506" s="303"/>
      <c r="P1506" s="303"/>
      <c r="Q1506" s="25"/>
      <c r="R1506" s="25"/>
      <c r="S1506" s="25"/>
      <c r="T1506" s="25"/>
      <c r="U1506" s="25"/>
    </row>
    <row r="1507" spans="6:21">
      <c r="F1507" s="303"/>
      <c r="G1507" s="303"/>
      <c r="J1507" s="303"/>
      <c r="K1507" s="324"/>
      <c r="L1507" s="303"/>
      <c r="M1507" s="303"/>
      <c r="N1507" s="303"/>
      <c r="O1507" s="303"/>
      <c r="P1507" s="303"/>
      <c r="Q1507" s="25"/>
      <c r="R1507" s="25"/>
      <c r="S1507" s="25"/>
      <c r="T1507" s="25"/>
      <c r="U1507" s="25"/>
    </row>
    <row r="1508" spans="6:21">
      <c r="F1508" s="303"/>
      <c r="G1508" s="303"/>
      <c r="J1508" s="303"/>
      <c r="K1508" s="324"/>
      <c r="L1508" s="303"/>
      <c r="M1508" s="303"/>
      <c r="N1508" s="303"/>
      <c r="O1508" s="303"/>
      <c r="P1508" s="303"/>
      <c r="Q1508" s="25"/>
      <c r="R1508" s="25"/>
      <c r="S1508" s="25"/>
      <c r="T1508" s="25"/>
      <c r="U1508" s="25"/>
    </row>
    <row r="1509" spans="6:21">
      <c r="F1509" s="303"/>
      <c r="G1509" s="303"/>
      <c r="J1509" s="303"/>
      <c r="K1509" s="324"/>
      <c r="L1509" s="303"/>
      <c r="M1509" s="303"/>
      <c r="N1509" s="303"/>
      <c r="O1509" s="303"/>
      <c r="P1509" s="303"/>
      <c r="Q1509" s="25"/>
      <c r="R1509" s="25"/>
      <c r="S1509" s="25"/>
      <c r="T1509" s="25"/>
      <c r="U1509" s="25"/>
    </row>
    <row r="1510" spans="6:21">
      <c r="F1510" s="303"/>
      <c r="G1510" s="303"/>
      <c r="J1510" s="303"/>
      <c r="K1510" s="324"/>
      <c r="L1510" s="303"/>
      <c r="M1510" s="303"/>
      <c r="N1510" s="303"/>
      <c r="O1510" s="303"/>
      <c r="P1510" s="303"/>
      <c r="Q1510" s="25"/>
      <c r="R1510" s="25"/>
      <c r="S1510" s="25"/>
      <c r="T1510" s="25"/>
      <c r="U1510" s="25"/>
    </row>
    <row r="1511" spans="6:21">
      <c r="F1511" s="303"/>
      <c r="G1511" s="303"/>
      <c r="J1511" s="303"/>
      <c r="K1511" s="324"/>
      <c r="L1511" s="303"/>
      <c r="M1511" s="303"/>
      <c r="N1511" s="303"/>
      <c r="O1511" s="303"/>
      <c r="P1511" s="303"/>
      <c r="Q1511" s="25"/>
      <c r="R1511" s="25"/>
      <c r="S1511" s="25"/>
      <c r="T1511" s="25"/>
      <c r="U1511" s="25"/>
    </row>
    <row r="1512" spans="6:21">
      <c r="F1512" s="303"/>
      <c r="G1512" s="303"/>
      <c r="J1512" s="303"/>
      <c r="K1512" s="324"/>
      <c r="L1512" s="303"/>
      <c r="M1512" s="303"/>
      <c r="N1512" s="303"/>
      <c r="O1512" s="303"/>
      <c r="P1512" s="303"/>
      <c r="Q1512" s="25"/>
      <c r="R1512" s="25"/>
      <c r="S1512" s="25"/>
      <c r="T1512" s="25"/>
      <c r="U1512" s="25"/>
    </row>
    <row r="1513" spans="6:21">
      <c r="F1513" s="303"/>
      <c r="G1513" s="303"/>
      <c r="J1513" s="303"/>
      <c r="K1513" s="324"/>
      <c r="L1513" s="303"/>
      <c r="M1513" s="303"/>
      <c r="N1513" s="303"/>
      <c r="O1513" s="303"/>
      <c r="P1513" s="303"/>
      <c r="Q1513" s="25"/>
      <c r="R1513" s="25"/>
      <c r="S1513" s="25"/>
      <c r="T1513" s="25"/>
      <c r="U1513" s="25"/>
    </row>
    <row r="1514" spans="6:21">
      <c r="F1514" s="303"/>
      <c r="G1514" s="303"/>
      <c r="J1514" s="303"/>
      <c r="K1514" s="324"/>
      <c r="L1514" s="303"/>
      <c r="M1514" s="303"/>
      <c r="N1514" s="303"/>
      <c r="O1514" s="303"/>
      <c r="P1514" s="303"/>
      <c r="Q1514" s="25"/>
      <c r="R1514" s="25"/>
      <c r="S1514" s="25"/>
      <c r="T1514" s="25"/>
      <c r="U1514" s="25"/>
    </row>
    <row r="1515" spans="6:21">
      <c r="F1515" s="303"/>
      <c r="G1515" s="303"/>
      <c r="J1515" s="303"/>
      <c r="K1515" s="324"/>
      <c r="L1515" s="303"/>
      <c r="M1515" s="303"/>
      <c r="N1515" s="303"/>
      <c r="O1515" s="303"/>
      <c r="P1515" s="303"/>
      <c r="Q1515" s="25"/>
      <c r="R1515" s="25"/>
      <c r="S1515" s="25"/>
      <c r="T1515" s="25"/>
      <c r="U1515" s="25"/>
    </row>
    <row r="1516" spans="6:21">
      <c r="F1516" s="303"/>
      <c r="G1516" s="303"/>
      <c r="J1516" s="303"/>
      <c r="K1516" s="324"/>
      <c r="L1516" s="303"/>
      <c r="M1516" s="303"/>
      <c r="N1516" s="303"/>
      <c r="O1516" s="303"/>
      <c r="P1516" s="303"/>
      <c r="Q1516" s="25"/>
      <c r="R1516" s="25"/>
      <c r="S1516" s="25"/>
      <c r="T1516" s="25"/>
      <c r="U1516" s="25"/>
    </row>
    <row r="1517" spans="6:21">
      <c r="F1517" s="303"/>
      <c r="G1517" s="303"/>
      <c r="J1517" s="303"/>
      <c r="K1517" s="324"/>
      <c r="L1517" s="303"/>
      <c r="M1517" s="303"/>
      <c r="N1517" s="303"/>
      <c r="O1517" s="303"/>
      <c r="P1517" s="303"/>
      <c r="Q1517" s="25"/>
      <c r="R1517" s="25"/>
      <c r="S1517" s="25"/>
      <c r="T1517" s="25"/>
      <c r="U1517" s="25"/>
    </row>
    <row r="1518" spans="6:21">
      <c r="F1518" s="303"/>
      <c r="G1518" s="303"/>
      <c r="J1518" s="303"/>
      <c r="K1518" s="324"/>
      <c r="L1518" s="303"/>
      <c r="M1518" s="303"/>
      <c r="N1518" s="303"/>
      <c r="O1518" s="303"/>
      <c r="P1518" s="303"/>
      <c r="Q1518" s="25"/>
      <c r="R1518" s="25"/>
      <c r="S1518" s="25"/>
      <c r="T1518" s="25"/>
      <c r="U1518" s="25"/>
    </row>
    <row r="1519" spans="6:21">
      <c r="F1519" s="303"/>
      <c r="G1519" s="303"/>
      <c r="J1519" s="303"/>
      <c r="K1519" s="324"/>
      <c r="L1519" s="303"/>
      <c r="M1519" s="303"/>
      <c r="N1519" s="303"/>
      <c r="O1519" s="303"/>
      <c r="P1519" s="303"/>
      <c r="Q1519" s="25"/>
      <c r="R1519" s="25"/>
      <c r="S1519" s="25"/>
      <c r="T1519" s="25"/>
      <c r="U1519" s="25"/>
    </row>
    <row r="1520" spans="6:21">
      <c r="F1520" s="303"/>
      <c r="G1520" s="303"/>
      <c r="J1520" s="303"/>
      <c r="K1520" s="324"/>
      <c r="L1520" s="303"/>
      <c r="M1520" s="303"/>
      <c r="N1520" s="303"/>
      <c r="O1520" s="303"/>
      <c r="P1520" s="303"/>
      <c r="Q1520" s="25"/>
      <c r="R1520" s="25"/>
      <c r="S1520" s="25"/>
      <c r="T1520" s="25"/>
      <c r="U1520" s="25"/>
    </row>
    <row r="1521" spans="6:21">
      <c r="F1521" s="303"/>
      <c r="G1521" s="303"/>
      <c r="J1521" s="303"/>
      <c r="K1521" s="324"/>
      <c r="L1521" s="303"/>
      <c r="M1521" s="303"/>
      <c r="N1521" s="303"/>
      <c r="O1521" s="303"/>
      <c r="P1521" s="303"/>
      <c r="Q1521" s="25"/>
      <c r="R1521" s="25"/>
      <c r="S1521" s="25"/>
      <c r="T1521" s="25"/>
      <c r="U1521" s="25"/>
    </row>
    <row r="1522" spans="6:21">
      <c r="F1522" s="303"/>
      <c r="G1522" s="303"/>
      <c r="J1522" s="303"/>
      <c r="K1522" s="324"/>
      <c r="L1522" s="303"/>
      <c r="M1522" s="303"/>
      <c r="N1522" s="303"/>
      <c r="O1522" s="303"/>
      <c r="P1522" s="303"/>
      <c r="Q1522" s="25"/>
      <c r="R1522" s="25"/>
      <c r="S1522" s="25"/>
      <c r="T1522" s="25"/>
      <c r="U1522" s="25"/>
    </row>
    <row r="1523" spans="6:21">
      <c r="F1523" s="303"/>
      <c r="G1523" s="303"/>
      <c r="J1523" s="303"/>
      <c r="K1523" s="324"/>
      <c r="L1523" s="303"/>
      <c r="M1523" s="303"/>
      <c r="N1523" s="303"/>
      <c r="O1523" s="303"/>
      <c r="P1523" s="303"/>
      <c r="Q1523" s="25"/>
      <c r="R1523" s="25"/>
      <c r="S1523" s="25"/>
      <c r="T1523" s="25"/>
      <c r="U1523" s="25"/>
    </row>
    <row r="1524" spans="6:21">
      <c r="F1524" s="303"/>
      <c r="G1524" s="303"/>
      <c r="J1524" s="303"/>
      <c r="K1524" s="324"/>
      <c r="L1524" s="303"/>
      <c r="M1524" s="303"/>
      <c r="N1524" s="303"/>
      <c r="O1524" s="303"/>
      <c r="P1524" s="303"/>
      <c r="Q1524" s="25"/>
      <c r="R1524" s="25"/>
      <c r="S1524" s="25"/>
      <c r="T1524" s="25"/>
      <c r="U1524" s="25"/>
    </row>
    <row r="1525" spans="6:21">
      <c r="F1525" s="303"/>
      <c r="G1525" s="303"/>
      <c r="J1525" s="303"/>
      <c r="K1525" s="324"/>
      <c r="L1525" s="303"/>
      <c r="M1525" s="303"/>
      <c r="N1525" s="303"/>
      <c r="O1525" s="303"/>
      <c r="P1525" s="303"/>
      <c r="Q1525" s="25"/>
      <c r="R1525" s="25"/>
      <c r="S1525" s="25"/>
      <c r="T1525" s="25"/>
      <c r="U1525" s="25"/>
    </row>
    <row r="1526" spans="6:21">
      <c r="F1526" s="303"/>
      <c r="G1526" s="303"/>
      <c r="J1526" s="303"/>
      <c r="K1526" s="324"/>
      <c r="L1526" s="303"/>
      <c r="M1526" s="303"/>
      <c r="N1526" s="303"/>
      <c r="O1526" s="303"/>
      <c r="P1526" s="303"/>
      <c r="Q1526" s="25"/>
      <c r="R1526" s="25"/>
      <c r="S1526" s="25"/>
      <c r="T1526" s="25"/>
      <c r="U1526" s="25"/>
    </row>
    <row r="1527" spans="6:21">
      <c r="F1527" s="303"/>
      <c r="G1527" s="303"/>
      <c r="J1527" s="303"/>
      <c r="K1527" s="324"/>
      <c r="L1527" s="303"/>
      <c r="M1527" s="303"/>
      <c r="N1527" s="303"/>
      <c r="O1527" s="303"/>
      <c r="P1527" s="303"/>
      <c r="Q1527" s="25"/>
      <c r="R1527" s="25"/>
      <c r="S1527" s="25"/>
      <c r="T1527" s="25"/>
      <c r="U1527" s="25"/>
    </row>
    <row r="1528" spans="6:21">
      <c r="F1528" s="303"/>
      <c r="G1528" s="303"/>
      <c r="J1528" s="303"/>
      <c r="K1528" s="324"/>
      <c r="L1528" s="303"/>
      <c r="M1528" s="303"/>
      <c r="N1528" s="303"/>
      <c r="O1528" s="303"/>
      <c r="P1528" s="303"/>
      <c r="Q1528" s="25"/>
      <c r="R1528" s="25"/>
      <c r="S1528" s="25"/>
      <c r="T1528" s="25"/>
      <c r="U1528" s="25"/>
    </row>
    <row r="1529" spans="6:21">
      <c r="F1529" s="303"/>
      <c r="G1529" s="303"/>
      <c r="J1529" s="303"/>
      <c r="K1529" s="324"/>
      <c r="L1529" s="303"/>
      <c r="M1529" s="303"/>
      <c r="N1529" s="303"/>
      <c r="O1529" s="303"/>
      <c r="P1529" s="303"/>
      <c r="Q1529" s="25"/>
      <c r="R1529" s="25"/>
      <c r="S1529" s="25"/>
      <c r="T1529" s="25"/>
      <c r="U1529" s="25"/>
    </row>
    <row r="1530" spans="6:21">
      <c r="F1530" s="303"/>
      <c r="G1530" s="303"/>
      <c r="J1530" s="303"/>
      <c r="K1530" s="324"/>
      <c r="L1530" s="303"/>
      <c r="M1530" s="303"/>
      <c r="N1530" s="303"/>
      <c r="O1530" s="303"/>
      <c r="P1530" s="303"/>
      <c r="Q1530" s="25"/>
      <c r="R1530" s="25"/>
      <c r="S1530" s="25"/>
      <c r="T1530" s="25"/>
      <c r="U1530" s="25"/>
    </row>
    <row r="1531" spans="6:21">
      <c r="F1531" s="303"/>
      <c r="G1531" s="303"/>
      <c r="J1531" s="303"/>
      <c r="K1531" s="324"/>
      <c r="L1531" s="303"/>
      <c r="M1531" s="303"/>
      <c r="N1531" s="303"/>
      <c r="O1531" s="303"/>
      <c r="P1531" s="303"/>
      <c r="Q1531" s="25"/>
      <c r="R1531" s="25"/>
      <c r="S1531" s="25"/>
      <c r="T1531" s="25"/>
      <c r="U1531" s="25"/>
    </row>
    <row r="1532" spans="6:21">
      <c r="F1532" s="303"/>
      <c r="G1532" s="303"/>
      <c r="J1532" s="303"/>
      <c r="K1532" s="324"/>
      <c r="L1532" s="303"/>
      <c r="M1532" s="303"/>
      <c r="N1532" s="303"/>
      <c r="O1532" s="303"/>
      <c r="P1532" s="303"/>
      <c r="Q1532" s="25"/>
      <c r="R1532" s="25"/>
      <c r="S1532" s="25"/>
      <c r="T1532" s="25"/>
      <c r="U1532" s="25"/>
    </row>
    <row r="1533" spans="6:21">
      <c r="F1533" s="303"/>
      <c r="G1533" s="303"/>
      <c r="J1533" s="303"/>
      <c r="K1533" s="324"/>
      <c r="L1533" s="303"/>
      <c r="M1533" s="303"/>
      <c r="N1533" s="303"/>
      <c r="O1533" s="303"/>
      <c r="P1533" s="303"/>
      <c r="Q1533" s="25"/>
      <c r="R1533" s="25"/>
      <c r="S1533" s="25"/>
      <c r="T1533" s="25"/>
      <c r="U1533" s="25"/>
    </row>
    <row r="1534" spans="6:21">
      <c r="F1534" s="303"/>
      <c r="G1534" s="303"/>
      <c r="J1534" s="303"/>
      <c r="K1534" s="324"/>
      <c r="L1534" s="303"/>
      <c r="M1534" s="303"/>
      <c r="N1534" s="303"/>
      <c r="O1534" s="303"/>
      <c r="P1534" s="303"/>
      <c r="Q1534" s="25"/>
      <c r="R1534" s="25"/>
      <c r="S1534" s="25"/>
      <c r="T1534" s="25"/>
      <c r="U1534" s="25"/>
    </row>
    <row r="1535" spans="6:21">
      <c r="F1535" s="303"/>
      <c r="G1535" s="303"/>
      <c r="J1535" s="303"/>
      <c r="K1535" s="324"/>
      <c r="L1535" s="303"/>
      <c r="M1535" s="303"/>
      <c r="N1535" s="303"/>
      <c r="O1535" s="303"/>
      <c r="P1535" s="303"/>
      <c r="Q1535" s="25"/>
      <c r="R1535" s="25"/>
      <c r="S1535" s="25"/>
      <c r="T1535" s="25"/>
      <c r="U1535" s="25"/>
    </row>
    <row r="1536" spans="6:21">
      <c r="F1536" s="303"/>
      <c r="G1536" s="303"/>
      <c r="J1536" s="303"/>
      <c r="K1536" s="324"/>
      <c r="L1536" s="303"/>
      <c r="M1536" s="303"/>
      <c r="N1536" s="303"/>
      <c r="O1536" s="303"/>
      <c r="P1536" s="303"/>
      <c r="Q1536" s="25"/>
      <c r="R1536" s="25"/>
      <c r="S1536" s="25"/>
      <c r="T1536" s="25"/>
      <c r="U1536" s="25"/>
    </row>
    <row r="1537" spans="6:21">
      <c r="F1537" s="303"/>
      <c r="G1537" s="303"/>
      <c r="J1537" s="303"/>
      <c r="K1537" s="324"/>
      <c r="L1537" s="303"/>
      <c r="M1537" s="303"/>
      <c r="N1537" s="303"/>
      <c r="O1537" s="303"/>
      <c r="P1537" s="303"/>
      <c r="Q1537" s="25"/>
      <c r="R1537" s="25"/>
      <c r="S1537" s="25"/>
      <c r="T1537" s="25"/>
      <c r="U1537" s="25"/>
    </row>
    <row r="1538" spans="6:21">
      <c r="F1538" s="303"/>
      <c r="G1538" s="303"/>
      <c r="J1538" s="303"/>
      <c r="K1538" s="324"/>
      <c r="L1538" s="303"/>
      <c r="M1538" s="303"/>
      <c r="N1538" s="303"/>
      <c r="O1538" s="303"/>
      <c r="P1538" s="303"/>
      <c r="Q1538" s="25"/>
      <c r="R1538" s="25"/>
      <c r="S1538" s="25"/>
      <c r="T1538" s="25"/>
      <c r="U1538" s="25"/>
    </row>
    <row r="1539" spans="6:21">
      <c r="F1539" s="303"/>
      <c r="G1539" s="303"/>
      <c r="J1539" s="303"/>
      <c r="K1539" s="324"/>
      <c r="L1539" s="303"/>
      <c r="M1539" s="303"/>
      <c r="N1539" s="303"/>
      <c r="O1539" s="303"/>
      <c r="P1539" s="303"/>
      <c r="Q1539" s="25"/>
      <c r="R1539" s="25"/>
      <c r="S1539" s="25"/>
      <c r="T1539" s="25"/>
      <c r="U1539" s="25"/>
    </row>
    <row r="1540" spans="6:21">
      <c r="F1540" s="303"/>
      <c r="G1540" s="303"/>
      <c r="J1540" s="303"/>
      <c r="K1540" s="324"/>
      <c r="L1540" s="303"/>
      <c r="M1540" s="303"/>
      <c r="N1540" s="303"/>
      <c r="O1540" s="303"/>
      <c r="P1540" s="303"/>
      <c r="Q1540" s="25"/>
      <c r="R1540" s="25"/>
      <c r="S1540" s="25"/>
      <c r="T1540" s="25"/>
      <c r="U1540" s="25"/>
    </row>
    <row r="1541" spans="6:21">
      <c r="F1541" s="303"/>
      <c r="G1541" s="303"/>
      <c r="J1541" s="303"/>
      <c r="K1541" s="324"/>
      <c r="L1541" s="303"/>
      <c r="M1541" s="303"/>
      <c r="N1541" s="303"/>
      <c r="O1541" s="303"/>
      <c r="P1541" s="303"/>
      <c r="Q1541" s="25"/>
      <c r="R1541" s="25"/>
      <c r="S1541" s="25"/>
      <c r="T1541" s="25"/>
      <c r="U1541" s="25"/>
    </row>
    <row r="1542" spans="6:21">
      <c r="F1542" s="303"/>
      <c r="G1542" s="303"/>
      <c r="J1542" s="303"/>
      <c r="K1542" s="324"/>
      <c r="L1542" s="303"/>
      <c r="M1542" s="303"/>
      <c r="N1542" s="303"/>
      <c r="O1542" s="303"/>
      <c r="P1542" s="303"/>
      <c r="Q1542" s="25"/>
      <c r="R1542" s="25"/>
      <c r="S1542" s="25"/>
      <c r="T1542" s="25"/>
      <c r="U1542" s="25"/>
    </row>
    <row r="1543" spans="6:21">
      <c r="F1543" s="303"/>
      <c r="G1543" s="303"/>
      <c r="J1543" s="303"/>
      <c r="K1543" s="324"/>
      <c r="L1543" s="303"/>
      <c r="M1543" s="303"/>
      <c r="N1543" s="303"/>
      <c r="O1543" s="303"/>
      <c r="P1543" s="303"/>
      <c r="Q1543" s="25"/>
      <c r="R1543" s="25"/>
      <c r="S1543" s="25"/>
      <c r="T1543" s="25"/>
      <c r="U1543" s="25"/>
    </row>
    <row r="1544" spans="6:21">
      <c r="F1544" s="303"/>
      <c r="G1544" s="303"/>
      <c r="J1544" s="303"/>
      <c r="K1544" s="324"/>
      <c r="L1544" s="303"/>
      <c r="M1544" s="303"/>
      <c r="N1544" s="303"/>
      <c r="O1544" s="303"/>
      <c r="P1544" s="303"/>
      <c r="Q1544" s="25"/>
      <c r="R1544" s="25"/>
      <c r="S1544" s="25"/>
      <c r="T1544" s="25"/>
      <c r="U1544" s="25"/>
    </row>
    <row r="1545" spans="6:21">
      <c r="F1545" s="303"/>
      <c r="G1545" s="303"/>
      <c r="J1545" s="303"/>
      <c r="K1545" s="324"/>
      <c r="L1545" s="303"/>
      <c r="M1545" s="303"/>
      <c r="N1545" s="303"/>
      <c r="O1545" s="303"/>
      <c r="P1545" s="303"/>
      <c r="Q1545" s="25"/>
      <c r="R1545" s="25"/>
      <c r="S1545" s="25"/>
      <c r="T1545" s="25"/>
      <c r="U1545" s="25"/>
    </row>
    <row r="1546" spans="6:21">
      <c r="F1546" s="303"/>
      <c r="G1546" s="303"/>
      <c r="J1546" s="303"/>
      <c r="K1546" s="324"/>
      <c r="L1546" s="303"/>
      <c r="M1546" s="303"/>
      <c r="N1546" s="303"/>
      <c r="O1546" s="303"/>
      <c r="P1546" s="303"/>
      <c r="Q1546" s="25"/>
      <c r="R1546" s="25"/>
      <c r="S1546" s="25"/>
      <c r="T1546" s="25"/>
      <c r="U1546" s="25"/>
    </row>
    <row r="1547" spans="6:21">
      <c r="F1547" s="303"/>
      <c r="G1547" s="303"/>
      <c r="J1547" s="303"/>
      <c r="K1547" s="324"/>
      <c r="L1547" s="303"/>
      <c r="M1547" s="303"/>
      <c r="N1547" s="303"/>
      <c r="O1547" s="303"/>
      <c r="P1547" s="303"/>
      <c r="Q1547" s="25"/>
      <c r="R1547" s="25"/>
      <c r="S1547" s="25"/>
      <c r="T1547" s="25"/>
      <c r="U1547" s="25"/>
    </row>
    <row r="1548" spans="6:21">
      <c r="F1548" s="303"/>
      <c r="G1548" s="303"/>
      <c r="J1548" s="303"/>
      <c r="K1548" s="324"/>
      <c r="L1548" s="303"/>
      <c r="M1548" s="303"/>
      <c r="N1548" s="303"/>
      <c r="O1548" s="303"/>
      <c r="P1548" s="303"/>
      <c r="Q1548" s="25"/>
      <c r="R1548" s="25"/>
      <c r="S1548" s="25"/>
      <c r="T1548" s="25"/>
      <c r="U1548" s="25"/>
    </row>
    <row r="1549" spans="6:21">
      <c r="F1549" s="303"/>
      <c r="G1549" s="303"/>
      <c r="J1549" s="303"/>
      <c r="K1549" s="324"/>
      <c r="L1549" s="303"/>
      <c r="M1549" s="303"/>
      <c r="N1549" s="303"/>
      <c r="O1549" s="303"/>
      <c r="P1549" s="303"/>
      <c r="Q1549" s="25"/>
      <c r="R1549" s="25"/>
      <c r="S1549" s="25"/>
      <c r="T1549" s="25"/>
      <c r="U1549" s="25"/>
    </row>
    <row r="1550" spans="6:21">
      <c r="F1550" s="303"/>
      <c r="G1550" s="303"/>
      <c r="J1550" s="303"/>
      <c r="K1550" s="324"/>
      <c r="L1550" s="303"/>
      <c r="M1550" s="303"/>
      <c r="N1550" s="303"/>
      <c r="O1550" s="303"/>
      <c r="P1550" s="303"/>
      <c r="Q1550" s="25"/>
      <c r="R1550" s="25"/>
      <c r="S1550" s="25"/>
      <c r="T1550" s="25"/>
      <c r="U1550" s="25"/>
    </row>
    <row r="1551" spans="6:21">
      <c r="F1551" s="303"/>
      <c r="G1551" s="303"/>
      <c r="J1551" s="303"/>
      <c r="K1551" s="324"/>
      <c r="L1551" s="303"/>
      <c r="M1551" s="303"/>
      <c r="N1551" s="303"/>
      <c r="O1551" s="303"/>
      <c r="P1551" s="303"/>
      <c r="Q1551" s="25"/>
      <c r="R1551" s="25"/>
      <c r="S1551" s="25"/>
      <c r="T1551" s="25"/>
      <c r="U1551" s="25"/>
    </row>
    <row r="1552" spans="6:21">
      <c r="F1552" s="303"/>
      <c r="G1552" s="303"/>
      <c r="J1552" s="303"/>
      <c r="K1552" s="324"/>
      <c r="L1552" s="303"/>
      <c r="M1552" s="303"/>
      <c r="N1552" s="303"/>
      <c r="O1552" s="303"/>
      <c r="P1552" s="303"/>
      <c r="Q1552" s="25"/>
      <c r="R1552" s="25"/>
      <c r="S1552" s="25"/>
      <c r="T1552" s="25"/>
      <c r="U1552" s="25"/>
    </row>
    <row r="1553" spans="6:21">
      <c r="F1553" s="303"/>
      <c r="G1553" s="303"/>
      <c r="J1553" s="303"/>
      <c r="K1553" s="324"/>
      <c r="L1553" s="303"/>
      <c r="M1553" s="303"/>
      <c r="N1553" s="303"/>
      <c r="O1553" s="303"/>
      <c r="P1553" s="303"/>
      <c r="Q1553" s="25"/>
      <c r="R1553" s="25"/>
      <c r="S1553" s="25"/>
      <c r="T1553" s="25"/>
      <c r="U1553" s="25"/>
    </row>
    <row r="1554" spans="6:21">
      <c r="F1554" s="303"/>
      <c r="G1554" s="303"/>
      <c r="J1554" s="303"/>
      <c r="K1554" s="324"/>
      <c r="L1554" s="303"/>
      <c r="M1554" s="303"/>
      <c r="N1554" s="303"/>
      <c r="O1554" s="303"/>
      <c r="P1554" s="303"/>
      <c r="Q1554" s="25"/>
      <c r="R1554" s="25"/>
      <c r="S1554" s="25"/>
      <c r="T1554" s="25"/>
      <c r="U1554" s="25"/>
    </row>
    <row r="1555" spans="6:21">
      <c r="F1555" s="303"/>
      <c r="G1555" s="303"/>
      <c r="J1555" s="303"/>
      <c r="K1555" s="324"/>
      <c r="L1555" s="303"/>
      <c r="M1555" s="303"/>
      <c r="N1555" s="303"/>
      <c r="O1555" s="303"/>
      <c r="P1555" s="303"/>
      <c r="Q1555" s="25"/>
      <c r="R1555" s="25"/>
      <c r="S1555" s="25"/>
      <c r="T1555" s="25"/>
      <c r="U1555" s="25"/>
    </row>
    <row r="1556" spans="6:21">
      <c r="F1556" s="303"/>
      <c r="G1556" s="303"/>
      <c r="J1556" s="303"/>
      <c r="K1556" s="324"/>
      <c r="L1556" s="303"/>
      <c r="M1556" s="303"/>
      <c r="N1556" s="303"/>
      <c r="O1556" s="303"/>
      <c r="P1556" s="303"/>
      <c r="Q1556" s="25"/>
      <c r="R1556" s="25"/>
      <c r="S1556" s="25"/>
      <c r="T1556" s="25"/>
      <c r="U1556" s="25"/>
    </row>
    <row r="1557" spans="6:21">
      <c r="F1557" s="303"/>
      <c r="G1557" s="303"/>
      <c r="J1557" s="303"/>
      <c r="K1557" s="324"/>
      <c r="L1557" s="303"/>
      <c r="M1557" s="303"/>
      <c r="N1557" s="303"/>
      <c r="O1557" s="303"/>
      <c r="P1557" s="303"/>
      <c r="Q1557" s="25"/>
      <c r="R1557" s="25"/>
      <c r="S1557" s="25"/>
      <c r="T1557" s="25"/>
      <c r="U1557" s="25"/>
    </row>
    <row r="1558" spans="6:21">
      <c r="F1558" s="303"/>
      <c r="G1558" s="303"/>
      <c r="J1558" s="303"/>
      <c r="K1558" s="324"/>
      <c r="L1558" s="303"/>
      <c r="M1558" s="303"/>
      <c r="N1558" s="303"/>
      <c r="O1558" s="303"/>
      <c r="P1558" s="303"/>
      <c r="Q1558" s="25"/>
      <c r="R1558" s="25"/>
      <c r="S1558" s="25"/>
      <c r="T1558" s="25"/>
      <c r="U1558" s="25"/>
    </row>
    <row r="1559" spans="6:21">
      <c r="F1559" s="303"/>
      <c r="G1559" s="303"/>
      <c r="J1559" s="303"/>
      <c r="K1559" s="324"/>
      <c r="L1559" s="303"/>
      <c r="M1559" s="303"/>
      <c r="N1559" s="303"/>
      <c r="O1559" s="303"/>
      <c r="P1559" s="303"/>
      <c r="Q1559" s="25"/>
      <c r="R1559" s="25"/>
      <c r="S1559" s="25"/>
      <c r="T1559" s="25"/>
      <c r="U1559" s="25"/>
    </row>
    <row r="1560" spans="6:21">
      <c r="F1560" s="303"/>
      <c r="G1560" s="303"/>
      <c r="J1560" s="303"/>
      <c r="K1560" s="324"/>
      <c r="L1560" s="303"/>
      <c r="M1560" s="303"/>
      <c r="N1560" s="303"/>
      <c r="O1560" s="303"/>
      <c r="P1560" s="303"/>
      <c r="Q1560" s="25"/>
      <c r="R1560" s="25"/>
      <c r="S1560" s="25"/>
      <c r="T1560" s="25"/>
      <c r="U1560" s="25"/>
    </row>
    <row r="1561" spans="6:21">
      <c r="F1561" s="303"/>
      <c r="G1561" s="303"/>
      <c r="J1561" s="303"/>
      <c r="K1561" s="324"/>
      <c r="L1561" s="303"/>
      <c r="M1561" s="303"/>
      <c r="N1561" s="303"/>
      <c r="O1561" s="303"/>
      <c r="P1561" s="303"/>
      <c r="Q1561" s="25"/>
      <c r="R1561" s="25"/>
      <c r="S1561" s="25"/>
      <c r="T1561" s="25"/>
      <c r="U1561" s="25"/>
    </row>
    <row r="1562" spans="6:21">
      <c r="F1562" s="303"/>
      <c r="G1562" s="303"/>
      <c r="J1562" s="303"/>
      <c r="K1562" s="324"/>
      <c r="L1562" s="303"/>
      <c r="M1562" s="303"/>
      <c r="N1562" s="303"/>
      <c r="O1562" s="303"/>
      <c r="P1562" s="303"/>
      <c r="Q1562" s="25"/>
      <c r="R1562" s="25"/>
      <c r="S1562" s="25"/>
      <c r="T1562" s="25"/>
      <c r="U1562" s="25"/>
    </row>
    <row r="1563" spans="6:21">
      <c r="F1563" s="303"/>
      <c r="G1563" s="303"/>
      <c r="J1563" s="303"/>
      <c r="K1563" s="324"/>
      <c r="L1563" s="303"/>
      <c r="M1563" s="303"/>
      <c r="N1563" s="303"/>
      <c r="O1563" s="303"/>
      <c r="P1563" s="303"/>
      <c r="Q1563" s="25"/>
      <c r="R1563" s="25"/>
      <c r="S1563" s="25"/>
      <c r="T1563" s="25"/>
      <c r="U1563" s="25"/>
    </row>
    <row r="1564" spans="6:21">
      <c r="F1564" s="303"/>
      <c r="G1564" s="303"/>
      <c r="J1564" s="303"/>
      <c r="K1564" s="324"/>
      <c r="L1564" s="303"/>
      <c r="M1564" s="303"/>
      <c r="N1564" s="303"/>
      <c r="O1564" s="303"/>
      <c r="P1564" s="303"/>
      <c r="Q1564" s="25"/>
      <c r="R1564" s="25"/>
      <c r="S1564" s="25"/>
      <c r="T1564" s="25"/>
      <c r="U1564" s="25"/>
    </row>
    <row r="1565" spans="6:21">
      <c r="F1565" s="303"/>
      <c r="G1565" s="303"/>
      <c r="J1565" s="303"/>
      <c r="K1565" s="324"/>
      <c r="L1565" s="303"/>
      <c r="M1565" s="303"/>
      <c r="N1565" s="303"/>
      <c r="O1565" s="303"/>
      <c r="P1565" s="303"/>
      <c r="Q1565" s="25"/>
      <c r="R1565" s="25"/>
      <c r="S1565" s="25"/>
      <c r="T1565" s="25"/>
      <c r="U1565" s="25"/>
    </row>
    <row r="1566" spans="6:21">
      <c r="F1566" s="303"/>
      <c r="G1566" s="303"/>
      <c r="J1566" s="303"/>
      <c r="K1566" s="324"/>
      <c r="L1566" s="303"/>
      <c r="M1566" s="303"/>
      <c r="N1566" s="303"/>
      <c r="O1566" s="303"/>
      <c r="P1566" s="303"/>
      <c r="Q1566" s="25"/>
      <c r="R1566" s="25"/>
      <c r="S1566" s="25"/>
      <c r="T1566" s="25"/>
      <c r="U1566" s="25"/>
    </row>
    <row r="1567" spans="6:21">
      <c r="F1567" s="303"/>
      <c r="G1567" s="303"/>
      <c r="J1567" s="303"/>
      <c r="K1567" s="324"/>
      <c r="L1567" s="303"/>
      <c r="M1567" s="303"/>
      <c r="N1567" s="303"/>
      <c r="O1567" s="303"/>
      <c r="P1567" s="303"/>
      <c r="Q1567" s="25"/>
      <c r="R1567" s="25"/>
      <c r="S1567" s="25"/>
      <c r="T1567" s="25"/>
      <c r="U1567" s="25"/>
    </row>
    <row r="1568" spans="6:21">
      <c r="F1568" s="303"/>
      <c r="G1568" s="303"/>
      <c r="J1568" s="303"/>
      <c r="K1568" s="324"/>
      <c r="L1568" s="303"/>
      <c r="M1568" s="303"/>
      <c r="N1568" s="303"/>
      <c r="O1568" s="303"/>
      <c r="P1568" s="303"/>
      <c r="Q1568" s="25"/>
      <c r="R1568" s="25"/>
      <c r="S1568" s="25"/>
      <c r="T1568" s="25"/>
      <c r="U1568" s="25"/>
    </row>
    <row r="1569" spans="6:21">
      <c r="F1569" s="303"/>
      <c r="G1569" s="303"/>
      <c r="J1569" s="303"/>
      <c r="K1569" s="324"/>
      <c r="L1569" s="303"/>
      <c r="M1569" s="303"/>
      <c r="N1569" s="303"/>
      <c r="O1569" s="303"/>
      <c r="P1569" s="303"/>
      <c r="Q1569" s="25"/>
      <c r="R1569" s="25"/>
      <c r="S1569" s="25"/>
      <c r="T1569" s="25"/>
      <c r="U1569" s="25"/>
    </row>
    <row r="1570" spans="6:21">
      <c r="F1570" s="303"/>
      <c r="G1570" s="303"/>
      <c r="J1570" s="303"/>
      <c r="K1570" s="324"/>
      <c r="L1570" s="303"/>
      <c r="M1570" s="303"/>
      <c r="N1570" s="303"/>
      <c r="O1570" s="303"/>
      <c r="P1570" s="303"/>
      <c r="Q1570" s="25"/>
      <c r="R1570" s="25"/>
      <c r="S1570" s="25"/>
      <c r="T1570" s="25"/>
      <c r="U1570" s="25"/>
    </row>
    <row r="1571" spans="6:21">
      <c r="F1571" s="303"/>
      <c r="G1571" s="303"/>
      <c r="J1571" s="303"/>
      <c r="K1571" s="324"/>
      <c r="L1571" s="303"/>
      <c r="M1571" s="303"/>
      <c r="N1571" s="303"/>
      <c r="O1571" s="303"/>
      <c r="P1571" s="303"/>
      <c r="Q1571" s="25"/>
      <c r="R1571" s="25"/>
      <c r="S1571" s="25"/>
      <c r="T1571" s="25"/>
      <c r="U1571" s="25"/>
    </row>
    <row r="1572" spans="6:21">
      <c r="F1572" s="303"/>
      <c r="G1572" s="303"/>
      <c r="J1572" s="303"/>
      <c r="K1572" s="324"/>
      <c r="L1572" s="303"/>
      <c r="M1572" s="303"/>
      <c r="N1572" s="303"/>
      <c r="O1572" s="303"/>
      <c r="P1572" s="303"/>
      <c r="Q1572" s="25"/>
      <c r="R1572" s="25"/>
      <c r="S1572" s="25"/>
      <c r="T1572" s="25"/>
      <c r="U1572" s="25"/>
    </row>
    <row r="1573" spans="6:21">
      <c r="F1573" s="303"/>
      <c r="G1573" s="303"/>
      <c r="J1573" s="303"/>
      <c r="K1573" s="324"/>
      <c r="L1573" s="303"/>
      <c r="M1573" s="303"/>
      <c r="N1573" s="303"/>
      <c r="O1573" s="303"/>
      <c r="P1573" s="303"/>
      <c r="Q1573" s="25"/>
      <c r="R1573" s="25"/>
      <c r="S1573" s="25"/>
      <c r="T1573" s="25"/>
      <c r="U1573" s="25"/>
    </row>
    <row r="1574" spans="6:21">
      <c r="F1574" s="303"/>
      <c r="G1574" s="303"/>
      <c r="J1574" s="303"/>
      <c r="K1574" s="324"/>
      <c r="L1574" s="303"/>
      <c r="M1574" s="303"/>
      <c r="N1574" s="303"/>
      <c r="O1574" s="303"/>
      <c r="P1574" s="303"/>
      <c r="Q1574" s="25"/>
      <c r="R1574" s="25"/>
      <c r="S1574" s="25"/>
      <c r="T1574" s="25"/>
      <c r="U1574" s="25"/>
    </row>
    <row r="1575" spans="6:21">
      <c r="F1575" s="303"/>
      <c r="G1575" s="303"/>
      <c r="J1575" s="303"/>
      <c r="K1575" s="324"/>
      <c r="L1575" s="303"/>
      <c r="M1575" s="303"/>
      <c r="N1575" s="303"/>
      <c r="O1575" s="303"/>
      <c r="P1575" s="303"/>
      <c r="Q1575" s="25"/>
      <c r="R1575" s="25"/>
      <c r="S1575" s="25"/>
      <c r="T1575" s="25"/>
      <c r="U1575" s="25"/>
    </row>
  </sheetData>
  <sheetProtection algorithmName="SHA-512" hashValue="TOckYw4RQYPoDz+UNogtKuhN1YGVGbXeDeSdYlRJmaABqs0kbbI1Fs0CaL/VbUIGVBHoey5w5VkLTff+ug5v4A==" saltValue="4R6uEbcZMSma7MXak03zcA==" spinCount="100000" sheet="1" objects="1" scenarios="1"/>
  <customSheetViews>
    <customSheetView guid="{7EE74243-CD96-4613-8F82-08E917A91D99}" scale="70">
      <pane xSplit="2" ySplit="1" topLeftCell="G141" activePane="bottomRight" state="frozen"/>
      <selection pane="bottomRight" activeCell="J159" sqref="J159"/>
      <pageMargins left="0.7" right="0.7" top="0.75" bottom="0.75" header="0.3" footer="0.3"/>
      <pageSetup paperSize="9" orientation="portrait" r:id="rId1"/>
    </customSheetView>
    <customSheetView guid="{77787C9C-D755-4D99-8252-290109F2917C}" scale="70">
      <pane xSplit="2" ySplit="1" topLeftCell="C2" activePane="bottomRight" state="frozen"/>
      <selection pane="bottomRight" activeCell="A4" sqref="A4"/>
      <pageMargins left="0.7" right="0.7" top="0.75" bottom="0.75" header="0.3" footer="0.3"/>
      <pageSetup paperSize="9" orientation="portrait" r:id="rId2"/>
    </customSheetView>
  </customSheetViews>
  <mergeCells count="7">
    <mergeCell ref="E372:F372"/>
    <mergeCell ref="E371:F371"/>
    <mergeCell ref="D153:E153"/>
    <mergeCell ref="H96:I96"/>
    <mergeCell ref="C145:F145"/>
    <mergeCell ref="E366:F366"/>
    <mergeCell ref="E368:F368"/>
  </mergeCells>
  <conditionalFormatting sqref="B198">
    <cfRule type="cellIs" dxfId="4" priority="1" operator="greaterThan">
      <formula>$B$196</formula>
    </cfRule>
    <cfRule type="cellIs" dxfId="3" priority="2" operator="greaterThan">
      <formula>$B$196</formula>
    </cfRule>
    <cfRule type="expression" dxfId="2" priority="3">
      <formula>"$B$198&gt;$B$196"</formula>
    </cfRule>
  </conditionalFormatting>
  <dataValidations count="13">
    <dataValidation type="list" allowBlank="1" showInputMessage="1" showErrorMessage="1" sqref="B18" xr:uid="{00000000-0002-0000-0200-000000000000}">
      <formula1>$B$391:$B$396</formula1>
    </dataValidation>
    <dataValidation type="list" allowBlank="1" showInputMessage="1" showErrorMessage="1" sqref="B19" xr:uid="{00000000-0002-0000-0200-000001000000}">
      <formula1>$A$384:$A$388</formula1>
    </dataValidation>
    <dataValidation type="list" allowBlank="1" showInputMessage="1" showErrorMessage="1" sqref="B157 B170 B163 B184 B176 B190" xr:uid="{00000000-0002-0000-0200-000002000000}">
      <formula1>$A$215:$A$219</formula1>
    </dataValidation>
    <dataValidation type="list" allowBlank="1" showInputMessage="1" showErrorMessage="1" sqref="B159 B178 B172 B192 B186 B165" xr:uid="{00000000-0002-0000-0200-000003000000}">
      <formula1>$A$203:$A$204</formula1>
    </dataValidation>
    <dataValidation type="list" allowBlank="1" showInputMessage="1" showErrorMessage="1" sqref="B160 B179 B173 B193 B187 B166 B201" xr:uid="{00000000-0002-0000-0200-000004000000}">
      <formula1>$A$207:$A$212</formula1>
    </dataValidation>
    <dataValidation type="list" allowBlank="1" showInputMessage="1" showErrorMessage="1" sqref="B25" xr:uid="{00000000-0002-0000-0200-000005000000}">
      <formula1>$A$426:$A$455</formula1>
    </dataValidation>
    <dataValidation type="list" allowBlank="1" showInputMessage="1" showErrorMessage="1" sqref="B26:B27" xr:uid="{00000000-0002-0000-0200-000006000000}">
      <formula1>$B$398:$B$399</formula1>
    </dataValidation>
    <dataValidation type="list" allowBlank="1" showInputMessage="1" showErrorMessage="1" sqref="B24" xr:uid="{00000000-0002-0000-0200-000007000000}">
      <formula1>$B$402:$B$404</formula1>
    </dataValidation>
    <dataValidation type="list" allowBlank="1" showInputMessage="1" showErrorMessage="1" sqref="D94:D99 D113:D144 D69:D75 D89:D91 D85:D86 D78:D82 D101:D110 D147:D149 D52:D67 D35:D50" xr:uid="{00000000-0002-0000-0200-000008000000}">
      <formula1>$A$407:$A$408</formula1>
    </dataValidation>
    <dataValidation type="list" allowBlank="1" showInputMessage="1" showErrorMessage="1" sqref="B29" xr:uid="{00000000-0002-0000-0200-000009000000}">
      <formula1>$A$410:$A$413</formula1>
    </dataValidation>
    <dataValidation type="list" allowBlank="1" showInputMessage="1" showErrorMessage="1" sqref="B30" xr:uid="{00000000-0002-0000-0200-00000A000000}">
      <formula1>$A$414:$A$417</formula1>
    </dataValidation>
    <dataValidation type="list" allowBlank="1" showInputMessage="1" showErrorMessage="1" sqref="F153" xr:uid="{00000000-0002-0000-0200-00000B000000}">
      <formula1>$K$391:$K$392</formula1>
    </dataValidation>
    <dataValidation type="list" allowBlank="1" showInputMessage="1" showErrorMessage="1" sqref="B158 B164 B171 B177 B185 B191" xr:uid="{00000000-0002-0000-0200-00000C000000}">
      <formula1>$K$396:$K$398</formula1>
    </dataValidation>
  </dataValidations>
  <pageMargins left="0.7" right="0.7" top="0.75" bottom="0.75" header="0.3" footer="0.3"/>
  <pageSetup paperSize="9" orientation="portrait" r:id="rId3"/>
  <ignoredErrors>
    <ignoredError sqref="K75" formulaRange="1"/>
    <ignoredError sqref="K295:K297 N295:P297 O303:P321 O324:P346 O348:P356 P347" unlockedFormula="1"/>
    <ignoredError sqref="N347:O347" formulaRange="1" unlockedFormula="1"/>
    <ignoredError sqref="O127:P127 P54 O57:P57 O71 O80" formula="1"/>
  </ignoredError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D000000}">
          <x14:formula1>
            <xm:f>CO2_fuel_calc!$A$4:$A$12</xm:f>
          </x14:formula1>
          <xm:sqref>B28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G33"/>
  <sheetViews>
    <sheetView workbookViewId="0">
      <selection activeCell="K30" sqref="K30"/>
    </sheetView>
  </sheetViews>
  <sheetFormatPr defaultRowHeight="15"/>
  <cols>
    <col min="1" max="1" width="26.7109375" customWidth="1"/>
    <col min="2" max="3" width="12.140625" bestFit="1" customWidth="1"/>
    <col min="4" max="5" width="11.140625" bestFit="1" customWidth="1"/>
    <col min="6" max="7" width="8.28515625" bestFit="1" customWidth="1"/>
  </cols>
  <sheetData>
    <row r="1" spans="1:7">
      <c r="A1" s="279" t="s">
        <v>1619</v>
      </c>
      <c r="B1" s="280"/>
      <c r="C1" s="280"/>
      <c r="D1" s="280"/>
      <c r="E1" s="280"/>
      <c r="F1" s="280"/>
      <c r="G1" s="280"/>
    </row>
    <row r="2" spans="1:7">
      <c r="A2" s="281"/>
      <c r="B2" s="280"/>
      <c r="C2" s="280"/>
      <c r="D2" s="280"/>
      <c r="E2" s="280"/>
      <c r="F2" s="280"/>
      <c r="G2" s="280"/>
    </row>
    <row r="3" spans="1:7" ht="36.75">
      <c r="A3" s="282"/>
      <c r="B3" s="283" t="s">
        <v>1613</v>
      </c>
      <c r="C3" s="284" t="s">
        <v>1614</v>
      </c>
      <c r="D3" s="284" t="s">
        <v>1615</v>
      </c>
      <c r="E3" s="284" t="s">
        <v>1616</v>
      </c>
      <c r="F3" s="284" t="s">
        <v>1617</v>
      </c>
      <c r="G3" s="285" t="s">
        <v>1618</v>
      </c>
    </row>
    <row r="4" spans="1:7">
      <c r="A4" s="289" t="s">
        <v>1602</v>
      </c>
      <c r="B4" s="287">
        <v>1847570</v>
      </c>
      <c r="C4" s="287">
        <v>6602050</v>
      </c>
      <c r="D4" s="287">
        <v>1218990</v>
      </c>
      <c r="E4" s="287">
        <v>3052710</v>
      </c>
      <c r="F4" s="286">
        <f t="shared" ref="F4:F32" si="0">C4/B4</f>
        <v>3.5733693445985808</v>
      </c>
      <c r="G4" s="286">
        <f t="shared" ref="G4:G32" si="1">E4/D4</f>
        <v>2.5042945389215663</v>
      </c>
    </row>
    <row r="5" spans="1:7">
      <c r="A5" s="289" t="s">
        <v>1605</v>
      </c>
      <c r="B5" s="287">
        <v>10880</v>
      </c>
      <c r="C5" s="287">
        <v>34930</v>
      </c>
      <c r="D5" s="287">
        <v>5290</v>
      </c>
      <c r="E5" s="287">
        <v>13490</v>
      </c>
      <c r="F5" s="286">
        <f t="shared" si="0"/>
        <v>3.2104779411764706</v>
      </c>
      <c r="G5" s="286">
        <f t="shared" si="1"/>
        <v>2.5500945179584122</v>
      </c>
    </row>
    <row r="6" spans="1:7">
      <c r="A6" s="289" t="s">
        <v>1599</v>
      </c>
      <c r="B6" s="287">
        <v>1307900</v>
      </c>
      <c r="C6" s="287">
        <v>3584440</v>
      </c>
      <c r="D6" s="287">
        <v>736640</v>
      </c>
      <c r="E6" s="287">
        <v>1720580</v>
      </c>
      <c r="F6" s="286">
        <f t="shared" si="0"/>
        <v>2.7406070800519919</v>
      </c>
      <c r="G6" s="286">
        <f t="shared" si="1"/>
        <v>2.335713509991312</v>
      </c>
    </row>
    <row r="7" spans="1:7">
      <c r="A7" s="289" t="s">
        <v>1609</v>
      </c>
      <c r="B7" s="287">
        <v>109330</v>
      </c>
      <c r="C7" s="287">
        <v>174520</v>
      </c>
      <c r="D7" s="287">
        <v>31700</v>
      </c>
      <c r="E7" s="287">
        <v>82620</v>
      </c>
      <c r="F7" s="286">
        <f t="shared" si="0"/>
        <v>1.5962681789078936</v>
      </c>
      <c r="G7" s="286">
        <f t="shared" si="1"/>
        <v>2.6063091482649843</v>
      </c>
    </row>
    <row r="8" spans="1:7">
      <c r="A8" s="289" t="s">
        <v>1607</v>
      </c>
      <c r="B8" s="287">
        <v>2619340</v>
      </c>
      <c r="C8" s="287">
        <v>4133390</v>
      </c>
      <c r="D8" s="287">
        <v>703410</v>
      </c>
      <c r="E8" s="287">
        <v>1229870</v>
      </c>
      <c r="F8" s="286">
        <f t="shared" si="0"/>
        <v>1.5780272893171563</v>
      </c>
      <c r="G8" s="286">
        <f t="shared" si="1"/>
        <v>1.7484397435350649</v>
      </c>
    </row>
    <row r="9" spans="1:7">
      <c r="A9" s="289" t="s">
        <v>1582</v>
      </c>
      <c r="B9" s="287">
        <v>131040</v>
      </c>
      <c r="C9" s="287">
        <v>165400</v>
      </c>
      <c r="D9" s="287">
        <v>93730</v>
      </c>
      <c r="E9" s="287">
        <v>144060</v>
      </c>
      <c r="F9" s="286">
        <f t="shared" si="0"/>
        <v>1.2622100122100122</v>
      </c>
      <c r="G9" s="286">
        <f t="shared" si="1"/>
        <v>1.5369678864824496</v>
      </c>
    </row>
    <row r="10" spans="1:7">
      <c r="A10" s="289" t="s">
        <v>1583</v>
      </c>
      <c r="B10" s="287">
        <v>4959450</v>
      </c>
      <c r="C10" s="287">
        <v>5929360</v>
      </c>
      <c r="D10" s="287">
        <v>4597280</v>
      </c>
      <c r="E10" s="287">
        <v>5451160</v>
      </c>
      <c r="F10" s="288">
        <f t="shared" si="0"/>
        <v>1.1955680569417979</v>
      </c>
      <c r="G10" s="286">
        <f t="shared" si="1"/>
        <v>1.1857359134096683</v>
      </c>
    </row>
    <row r="11" spans="1:7">
      <c r="A11" s="289" t="s">
        <v>1596</v>
      </c>
      <c r="B11" s="287">
        <v>16699580</v>
      </c>
      <c r="C11" s="287">
        <v>18406910</v>
      </c>
      <c r="D11" s="287">
        <v>7367840</v>
      </c>
      <c r="E11" s="287">
        <v>9527260</v>
      </c>
      <c r="F11" s="286">
        <f t="shared" si="0"/>
        <v>1.1022379005939071</v>
      </c>
      <c r="G11" s="286">
        <f t="shared" si="1"/>
        <v>1.2930872548806707</v>
      </c>
    </row>
    <row r="12" spans="1:7">
      <c r="A12" s="289" t="s">
        <v>1584</v>
      </c>
      <c r="B12" s="287">
        <v>485760</v>
      </c>
      <c r="C12" s="287">
        <v>487960</v>
      </c>
      <c r="D12" s="287">
        <v>338450</v>
      </c>
      <c r="E12" s="287">
        <v>357380</v>
      </c>
      <c r="F12" s="288">
        <f t="shared" si="0"/>
        <v>1.0045289855072463</v>
      </c>
      <c r="G12" s="286">
        <f t="shared" si="1"/>
        <v>1.0559314522085981</v>
      </c>
    </row>
    <row r="13" spans="1:7">
      <c r="A13" s="289" t="s">
        <v>1591</v>
      </c>
      <c r="B13" s="287">
        <v>2726890</v>
      </c>
      <c r="C13" s="287">
        <v>2439090</v>
      </c>
      <c r="D13" s="287">
        <v>1535880</v>
      </c>
      <c r="E13" s="287">
        <v>1493110</v>
      </c>
      <c r="F13" s="286">
        <f t="shared" si="0"/>
        <v>0.89445852234596923</v>
      </c>
      <c r="G13" s="286">
        <f t="shared" si="1"/>
        <v>0.9721527723520067</v>
      </c>
    </row>
    <row r="14" spans="1:7">
      <c r="A14" s="289" t="s">
        <v>1588</v>
      </c>
      <c r="B14" s="287">
        <v>27739430</v>
      </c>
      <c r="C14" s="287">
        <v>21871300</v>
      </c>
      <c r="D14" s="287">
        <v>13141230</v>
      </c>
      <c r="E14" s="287">
        <v>14614870</v>
      </c>
      <c r="F14" s="286">
        <f t="shared" si="0"/>
        <v>0.78845527828077222</v>
      </c>
      <c r="G14" s="286">
        <f t="shared" si="1"/>
        <v>1.112138665863089</v>
      </c>
    </row>
    <row r="15" spans="1:7">
      <c r="A15" s="289" t="s">
        <v>1601</v>
      </c>
      <c r="B15" s="287">
        <v>12098890</v>
      </c>
      <c r="C15" s="287">
        <v>9374270</v>
      </c>
      <c r="D15" s="287">
        <v>5243640</v>
      </c>
      <c r="E15" s="287">
        <v>5073150</v>
      </c>
      <c r="F15" s="286">
        <f t="shared" si="0"/>
        <v>0.77480413492477407</v>
      </c>
      <c r="G15" s="286">
        <f t="shared" si="1"/>
        <v>0.96748632629242282</v>
      </c>
    </row>
    <row r="16" spans="1:7">
      <c r="A16" s="289" t="s">
        <v>1594</v>
      </c>
      <c r="B16" s="287">
        <v>17326990</v>
      </c>
      <c r="C16" s="287">
        <v>13106290</v>
      </c>
      <c r="D16" s="287">
        <v>12386810</v>
      </c>
      <c r="E16" s="287">
        <v>10399640</v>
      </c>
      <c r="F16" s="286">
        <f t="shared" si="0"/>
        <v>0.75640893196106196</v>
      </c>
      <c r="G16" s="286">
        <f t="shared" si="1"/>
        <v>0.8395737078392258</v>
      </c>
    </row>
    <row r="17" spans="1:7">
      <c r="A17" s="289" t="s">
        <v>1597</v>
      </c>
      <c r="B17" s="287">
        <v>14409870</v>
      </c>
      <c r="C17" s="287">
        <v>9164570</v>
      </c>
      <c r="D17" s="287">
        <v>3899310</v>
      </c>
      <c r="E17" s="287">
        <v>4598450</v>
      </c>
      <c r="F17" s="286">
        <f t="shared" si="0"/>
        <v>0.63599255232698149</v>
      </c>
      <c r="G17" s="286">
        <f t="shared" si="1"/>
        <v>1.1792983886892809</v>
      </c>
    </row>
    <row r="18" spans="1:7">
      <c r="A18" s="289" t="s">
        <v>1606</v>
      </c>
      <c r="B18" s="287">
        <v>23300220</v>
      </c>
      <c r="C18" s="287">
        <v>14501690</v>
      </c>
      <c r="D18" s="287">
        <v>8467910</v>
      </c>
      <c r="E18" s="287">
        <v>6226040</v>
      </c>
      <c r="F18" s="286">
        <f t="shared" si="0"/>
        <v>0.62238425216585935</v>
      </c>
      <c r="G18" s="286">
        <f t="shared" si="1"/>
        <v>0.73525108320707233</v>
      </c>
    </row>
    <row r="19" spans="1:7">
      <c r="A19" s="289" t="s">
        <v>1589</v>
      </c>
      <c r="B19" s="287">
        <v>3035920</v>
      </c>
      <c r="C19" s="287">
        <v>1714530</v>
      </c>
      <c r="D19" s="287">
        <v>1623720</v>
      </c>
      <c r="E19" s="287">
        <v>1193880</v>
      </c>
      <c r="F19" s="286">
        <f t="shared" si="0"/>
        <v>0.56474808295343748</v>
      </c>
      <c r="G19" s="286">
        <f t="shared" si="1"/>
        <v>0.7352745547261843</v>
      </c>
    </row>
    <row r="20" spans="1:7">
      <c r="A20" s="289" t="s">
        <v>1595</v>
      </c>
      <c r="B20" s="287">
        <v>3641590</v>
      </c>
      <c r="C20" s="287">
        <v>2035510</v>
      </c>
      <c r="D20" s="287">
        <v>2183640</v>
      </c>
      <c r="E20" s="287">
        <v>1291820</v>
      </c>
      <c r="F20" s="286">
        <f t="shared" si="0"/>
        <v>0.55896188203504515</v>
      </c>
      <c r="G20" s="286">
        <f t="shared" si="1"/>
        <v>0.59159018885896941</v>
      </c>
    </row>
    <row r="21" spans="1:7">
      <c r="A21" s="289" t="s">
        <v>1603</v>
      </c>
      <c r="B21" s="287">
        <v>1571200</v>
      </c>
      <c r="C21" s="287">
        <v>864020</v>
      </c>
      <c r="D21" s="287">
        <v>737500</v>
      </c>
      <c r="E21" s="287">
        <v>438610</v>
      </c>
      <c r="F21" s="286">
        <f t="shared" si="0"/>
        <v>0.54991089613034627</v>
      </c>
      <c r="G21" s="286">
        <f t="shared" si="1"/>
        <v>0.59472542372881354</v>
      </c>
    </row>
    <row r="22" spans="1:7">
      <c r="A22" s="289" t="s">
        <v>1592</v>
      </c>
      <c r="B22" s="287">
        <v>2282400</v>
      </c>
      <c r="C22" s="287">
        <v>1172960</v>
      </c>
      <c r="D22" s="287">
        <v>676630</v>
      </c>
      <c r="E22" s="287">
        <v>682080</v>
      </c>
      <c r="F22" s="286">
        <f t="shared" si="0"/>
        <v>0.51391517700665967</v>
      </c>
      <c r="G22" s="286">
        <f t="shared" si="1"/>
        <v>1.0080546236495573</v>
      </c>
    </row>
    <row r="23" spans="1:7">
      <c r="A23" s="289" t="s">
        <v>1590</v>
      </c>
      <c r="B23" s="287">
        <v>3491470</v>
      </c>
      <c r="C23" s="287">
        <v>1728360</v>
      </c>
      <c r="D23" s="287">
        <v>1389210</v>
      </c>
      <c r="E23" s="287">
        <v>1034910</v>
      </c>
      <c r="F23" s="286">
        <f t="shared" si="0"/>
        <v>0.49502358605401164</v>
      </c>
      <c r="G23" s="286">
        <f t="shared" si="1"/>
        <v>0.74496296456259314</v>
      </c>
    </row>
    <row r="24" spans="1:7">
      <c r="A24" s="289" t="s">
        <v>1608</v>
      </c>
      <c r="B24" s="287">
        <v>4656520</v>
      </c>
      <c r="C24" s="287">
        <v>2259080</v>
      </c>
      <c r="D24" s="287">
        <v>1010390</v>
      </c>
      <c r="E24" s="287">
        <v>732030</v>
      </c>
      <c r="F24" s="286">
        <f t="shared" si="0"/>
        <v>0.4851434118182677</v>
      </c>
      <c r="G24" s="286">
        <f t="shared" si="1"/>
        <v>0.72450241985767871</v>
      </c>
    </row>
    <row r="25" spans="1:7">
      <c r="A25" s="289" t="s">
        <v>1610</v>
      </c>
      <c r="B25" s="287">
        <v>4856780</v>
      </c>
      <c r="C25" s="287">
        <v>2142980</v>
      </c>
      <c r="D25" s="287">
        <v>2328650</v>
      </c>
      <c r="E25" s="287">
        <v>1701470</v>
      </c>
      <c r="F25" s="286">
        <f t="shared" si="0"/>
        <v>0.44123472753552767</v>
      </c>
      <c r="G25" s="286">
        <f t="shared" si="1"/>
        <v>0.73066798359564555</v>
      </c>
    </row>
    <row r="26" spans="1:7">
      <c r="A26" s="289" t="s">
        <v>1604</v>
      </c>
      <c r="B26" s="287">
        <v>13055850</v>
      </c>
      <c r="C26" s="287">
        <v>4975310</v>
      </c>
      <c r="D26" s="287">
        <v>4700670</v>
      </c>
      <c r="E26" s="287">
        <v>3054420</v>
      </c>
      <c r="F26" s="286">
        <f t="shared" si="0"/>
        <v>0.38107897992087836</v>
      </c>
      <c r="G26" s="286">
        <f t="shared" si="1"/>
        <v>0.64978396696641116</v>
      </c>
    </row>
    <row r="27" spans="1:7">
      <c r="A27" s="289" t="s">
        <v>1593</v>
      </c>
      <c r="B27" s="287">
        <v>1901610</v>
      </c>
      <c r="C27" s="287">
        <v>644820</v>
      </c>
      <c r="D27" s="287">
        <v>768990</v>
      </c>
      <c r="E27" s="287">
        <v>391460</v>
      </c>
      <c r="F27" s="286">
        <f t="shared" si="0"/>
        <v>0.33909161184469999</v>
      </c>
      <c r="G27" s="286">
        <f t="shared" si="1"/>
        <v>0.50905733494583805</v>
      </c>
    </row>
    <row r="28" spans="1:7">
      <c r="A28" s="289" t="s">
        <v>1587</v>
      </c>
      <c r="B28" s="287">
        <v>957510</v>
      </c>
      <c r="C28" s="287">
        <v>310110</v>
      </c>
      <c r="D28" s="287">
        <v>382980</v>
      </c>
      <c r="E28" s="287">
        <v>210020</v>
      </c>
      <c r="F28" s="286">
        <f t="shared" si="0"/>
        <v>0.32387129116145003</v>
      </c>
      <c r="G28" s="286">
        <f t="shared" si="1"/>
        <v>0.54838372760979681</v>
      </c>
    </row>
    <row r="29" spans="1:7">
      <c r="A29" s="289" t="s">
        <v>1585</v>
      </c>
      <c r="B29" s="287">
        <v>2861250</v>
      </c>
      <c r="C29" s="287">
        <v>838750</v>
      </c>
      <c r="D29" s="287">
        <v>1094430</v>
      </c>
      <c r="E29" s="287">
        <v>576840</v>
      </c>
      <c r="F29" s="286">
        <f t="shared" si="0"/>
        <v>0.29314110965487111</v>
      </c>
      <c r="G29" s="286">
        <f t="shared" si="1"/>
        <v>0.5270688851731038</v>
      </c>
    </row>
    <row r="30" spans="1:7">
      <c r="A30" s="289" t="s">
        <v>1586</v>
      </c>
      <c r="B30" s="287">
        <v>1877720</v>
      </c>
      <c r="C30" s="287">
        <v>485990</v>
      </c>
      <c r="D30" s="287">
        <v>953210</v>
      </c>
      <c r="E30" s="287">
        <v>331220</v>
      </c>
      <c r="F30" s="286">
        <f t="shared" si="0"/>
        <v>0.25881920627143556</v>
      </c>
      <c r="G30" s="286">
        <f t="shared" si="1"/>
        <v>0.34747851994838491</v>
      </c>
    </row>
    <row r="31" spans="1:7">
      <c r="A31" s="289" t="s">
        <v>1600</v>
      </c>
      <c r="B31" s="287">
        <v>4650940</v>
      </c>
      <c r="C31" s="287">
        <v>1024910</v>
      </c>
      <c r="D31" s="287">
        <v>1300380</v>
      </c>
      <c r="E31" s="287">
        <v>681120</v>
      </c>
      <c r="F31" s="286">
        <f t="shared" si="0"/>
        <v>0.22036620554124542</v>
      </c>
      <c r="G31" s="286">
        <f t="shared" si="1"/>
        <v>0.5237853550500623</v>
      </c>
    </row>
    <row r="32" spans="1:7">
      <c r="A32" s="289" t="s">
        <v>1598</v>
      </c>
      <c r="B32" s="287">
        <v>996270</v>
      </c>
      <c r="C32" s="287">
        <v>1240770</v>
      </c>
      <c r="D32" s="287">
        <v>664300</v>
      </c>
      <c r="E32" s="287">
        <v>858180</v>
      </c>
      <c r="F32" s="286">
        <f t="shared" si="0"/>
        <v>1.2454153994399109</v>
      </c>
      <c r="G32" s="286">
        <f t="shared" si="1"/>
        <v>1.2918560891163631</v>
      </c>
    </row>
    <row r="33" spans="1:7">
      <c r="A33" s="281"/>
      <c r="B33" s="280"/>
      <c r="C33" s="280"/>
      <c r="D33" s="280"/>
      <c r="E33" s="280"/>
      <c r="F33" s="280"/>
      <c r="G33" s="2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7:XEY144"/>
  <sheetViews>
    <sheetView showGridLines="0" zoomScaleNormal="100" workbookViewId="0">
      <selection activeCell="B10" sqref="B10"/>
    </sheetView>
  </sheetViews>
  <sheetFormatPr defaultRowHeight="15"/>
  <cols>
    <col min="1" max="1" width="62.42578125" customWidth="1"/>
    <col min="2" max="2" width="24.85546875" style="567" customWidth="1"/>
    <col min="4" max="4" width="11.140625" customWidth="1"/>
    <col min="5" max="5" width="18.5703125" customWidth="1"/>
    <col min="6" max="6" width="9.140625" style="567"/>
    <col min="7" max="7" width="12.42578125" customWidth="1"/>
    <col min="8" max="8" width="8.85546875" customWidth="1"/>
    <col min="9" max="9" width="16.5703125" customWidth="1"/>
    <col min="10" max="10" width="12.140625" customWidth="1"/>
    <col min="13" max="13" width="9.140625" style="567"/>
  </cols>
  <sheetData>
    <row r="7" spans="1:16379" ht="15.75" thickBot="1"/>
    <row r="8" spans="1:16379" ht="21" customHeight="1" thickBot="1">
      <c r="A8" s="745" t="s">
        <v>135</v>
      </c>
      <c r="B8" s="746" t="s">
        <v>1666</v>
      </c>
      <c r="C8" s="931" t="s">
        <v>0</v>
      </c>
      <c r="E8" s="1050" t="s">
        <v>1682</v>
      </c>
      <c r="F8" s="1051"/>
      <c r="G8" s="1051"/>
      <c r="H8" s="1051"/>
      <c r="I8" s="1051"/>
      <c r="J8" s="630"/>
      <c r="M8"/>
    </row>
    <row r="9" spans="1:16379" ht="17.25" customHeight="1">
      <c r="A9" s="510" t="s">
        <v>75</v>
      </c>
      <c r="B9" s="748"/>
      <c r="C9" s="925"/>
      <c r="D9" s="13"/>
      <c r="E9" s="961" t="s">
        <v>220</v>
      </c>
      <c r="F9" s="958" t="s">
        <v>221</v>
      </c>
      <c r="G9" s="958"/>
      <c r="H9" s="958"/>
      <c r="I9" s="958"/>
      <c r="J9" s="931" t="s">
        <v>0</v>
      </c>
      <c r="K9" s="13"/>
      <c r="L9" s="13"/>
      <c r="M9" s="13"/>
      <c r="N9" s="13"/>
      <c r="O9" s="13"/>
      <c r="P9" s="13"/>
      <c r="Q9" s="13"/>
      <c r="R9" s="13"/>
      <c r="S9" s="13"/>
      <c r="T9" s="13"/>
      <c r="U9" s="13"/>
      <c r="V9" s="13"/>
      <c r="W9" s="13"/>
      <c r="X9" s="13"/>
      <c r="Y9" s="13"/>
      <c r="Z9" s="13"/>
      <c r="AA9" s="13"/>
      <c r="AB9" s="13"/>
      <c r="AC9" s="13"/>
      <c r="AD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row>
    <row r="10" spans="1:16379" ht="47.25" customHeight="1">
      <c r="A10" s="396" t="s">
        <v>77</v>
      </c>
      <c r="B10" s="574" t="s">
        <v>78</v>
      </c>
      <c r="C10" s="926">
        <f>IF(B10=B40,1,IF(B10=B41,2,IF(B10=B42,3,IF(B10=B43,4,IF(B10=B44,5,"N/A")))))</f>
        <v>1</v>
      </c>
      <c r="E10" s="956" t="s">
        <v>75</v>
      </c>
      <c r="F10" s="1053" t="s">
        <v>1803</v>
      </c>
      <c r="G10" s="1053"/>
      <c r="H10" s="1053"/>
      <c r="I10" s="1053"/>
      <c r="J10" s="951">
        <f>C14</f>
        <v>1</v>
      </c>
      <c r="M10"/>
    </row>
    <row r="11" spans="1:16379" ht="40.5" customHeight="1">
      <c r="A11" s="620"/>
      <c r="B11" s="572"/>
      <c r="C11" s="926"/>
      <c r="E11" s="956" t="s">
        <v>135</v>
      </c>
      <c r="F11" s="1053" t="s">
        <v>1804</v>
      </c>
      <c r="G11" s="1053"/>
      <c r="H11" s="1053"/>
      <c r="I11" s="1053"/>
      <c r="J11" s="951" t="str">
        <f>C20</f>
        <v>N/A</v>
      </c>
      <c r="M11"/>
    </row>
    <row r="12" spans="1:16379" ht="38.25">
      <c r="A12" s="396" t="s">
        <v>1280</v>
      </c>
      <c r="B12" s="575" t="s">
        <v>71</v>
      </c>
      <c r="C12" s="926">
        <f>IF(B12=B46,1,IF(B12=B47,1,IF(B12=B48,2,IF(B12=B49,3,IF(B12=B50,4,IF(B12=B51,5,"N/A"))))))</f>
        <v>1</v>
      </c>
      <c r="E12" s="956" t="s">
        <v>363</v>
      </c>
      <c r="F12" s="1053" t="s">
        <v>1805</v>
      </c>
      <c r="G12" s="1053"/>
      <c r="H12" s="1053"/>
      <c r="I12" s="1053"/>
      <c r="J12" s="951" t="str">
        <f>C27</f>
        <v>N/A</v>
      </c>
      <c r="M12"/>
    </row>
    <row r="13" spans="1:16379" ht="25.5" customHeight="1">
      <c r="A13" s="620"/>
      <c r="B13" s="572"/>
      <c r="C13" s="926"/>
      <c r="E13" s="956" t="s">
        <v>134</v>
      </c>
      <c r="F13" s="1054" t="s">
        <v>1806</v>
      </c>
      <c r="G13" s="1054"/>
      <c r="H13" s="1054"/>
      <c r="I13" s="1054"/>
      <c r="J13" s="963">
        <f>C29</f>
        <v>5</v>
      </c>
      <c r="M13"/>
    </row>
    <row r="14" spans="1:16379" ht="41.25" customHeight="1" thickBot="1">
      <c r="A14" s="749"/>
      <c r="B14" s="747"/>
      <c r="C14" s="932">
        <f>ROUND(AVERAGE(C10:C12),0)</f>
        <v>1</v>
      </c>
      <c r="E14" s="957" t="s">
        <v>132</v>
      </c>
      <c r="F14" s="1055" t="s">
        <v>1807</v>
      </c>
      <c r="G14" s="1055"/>
      <c r="H14" s="1055"/>
      <c r="I14" s="1055"/>
      <c r="J14" s="960" t="str">
        <f>C32</f>
        <v>N/A</v>
      </c>
      <c r="M14"/>
    </row>
    <row r="15" spans="1:16379" ht="14.45" customHeight="1" thickBot="1">
      <c r="A15" s="750" t="s">
        <v>174</v>
      </c>
      <c r="B15" s="744"/>
      <c r="C15" s="927"/>
      <c r="F15"/>
      <c r="I15" s="631" t="s">
        <v>1673</v>
      </c>
      <c r="J15" s="626">
        <f>C33</f>
        <v>3</v>
      </c>
      <c r="M15"/>
    </row>
    <row r="16" spans="1:16379" ht="14.45" customHeight="1">
      <c r="A16" s="396" t="s">
        <v>566</v>
      </c>
      <c r="B16" s="576" t="s">
        <v>72</v>
      </c>
      <c r="C16" s="926" t="str">
        <f>IF(B16=B61,5,IF(B16=B62,4,IF(B16=B63,3,IF(B16=B64,2,IF(B16=B65,1,"N/A")))))</f>
        <v>N/A</v>
      </c>
      <c r="F16"/>
      <c r="J16" s="567"/>
      <c r="M16"/>
    </row>
    <row r="17" spans="1:13">
      <c r="A17" s="396"/>
      <c r="B17" s="573"/>
      <c r="C17" s="926"/>
      <c r="F17"/>
      <c r="J17" s="567"/>
      <c r="M17"/>
    </row>
    <row r="18" spans="1:13" ht="25.5">
      <c r="A18" s="396" t="s">
        <v>355</v>
      </c>
      <c r="B18" s="575" t="s">
        <v>72</v>
      </c>
      <c r="C18" s="926" t="str">
        <f>IF(B18="0-20%",1,IF(B18="21-40%",2,IF(B18="41-60%",3,IF(B18="61-80%",4,IF(B18="81-100%",5,"N/A")))))</f>
        <v>N/A</v>
      </c>
      <c r="D18" s="14"/>
      <c r="F18"/>
      <c r="J18" s="567"/>
      <c r="M18"/>
    </row>
    <row r="19" spans="1:13">
      <c r="A19" s="620"/>
      <c r="B19" s="572"/>
      <c r="C19" s="926"/>
      <c r="D19" s="14"/>
      <c r="F19"/>
      <c r="J19" s="567"/>
      <c r="M19"/>
    </row>
    <row r="20" spans="1:13">
      <c r="A20" s="749"/>
      <c r="B20" s="743"/>
      <c r="C20" s="932" t="str">
        <f>IF(C16="N/A","N/A",IF(C18="N/A","N/A",ROUND(AVERAGE(C15:C18),0)))</f>
        <v>N/A</v>
      </c>
      <c r="D20" s="14"/>
      <c r="F20"/>
      <c r="J20" s="567"/>
      <c r="M20"/>
    </row>
    <row r="21" spans="1:13">
      <c r="A21" s="750" t="s">
        <v>363</v>
      </c>
      <c r="B21" s="741"/>
      <c r="C21" s="929"/>
      <c r="F21"/>
      <c r="J21" s="567"/>
      <c r="M21"/>
    </row>
    <row r="22" spans="1:13">
      <c r="A22" s="396" t="s">
        <v>1340</v>
      </c>
      <c r="B22" s="575" t="s">
        <v>72</v>
      </c>
      <c r="C22" s="926" t="str">
        <f>IF(B22=B74,C74,IF(B22=B75,C75,IF(B22=B76,C76,IF(B22=B77,C77,IF(B22=B78,C78,IF(B22=B79,C79,"invalid data"))))))</f>
        <v>n/a</v>
      </c>
      <c r="F22"/>
      <c r="J22" s="567"/>
      <c r="M22"/>
    </row>
    <row r="23" spans="1:13">
      <c r="A23" s="620"/>
      <c r="B23" s="572"/>
      <c r="C23" s="926"/>
      <c r="F23"/>
      <c r="J23" s="567"/>
      <c r="M23"/>
    </row>
    <row r="24" spans="1:13">
      <c r="A24" s="396" t="s">
        <v>504</v>
      </c>
      <c r="B24" s="574" t="s">
        <v>72</v>
      </c>
      <c r="C24" s="926" t="str">
        <f>IF(B22="N/A","N/A",IF(B24=B86,5,IF(B24=B85,4,IF(B24=B84,3,IF(B24=B83,2,IF(B24=B82,1,"N/A"))))))</f>
        <v>N/A</v>
      </c>
      <c r="F24"/>
      <c r="J24" s="567"/>
      <c r="M24"/>
    </row>
    <row r="25" spans="1:13">
      <c r="A25" s="396"/>
      <c r="B25" s="572"/>
      <c r="C25" s="926"/>
      <c r="F25"/>
      <c r="J25" s="567"/>
      <c r="M25"/>
    </row>
    <row r="26" spans="1:13">
      <c r="A26" s="396"/>
      <c r="B26" s="572"/>
      <c r="C26" s="930"/>
      <c r="F26"/>
      <c r="J26" s="567"/>
      <c r="M26"/>
    </row>
    <row r="27" spans="1:13">
      <c r="A27" s="749"/>
      <c r="B27" s="743"/>
      <c r="C27" s="932" t="str">
        <f>IF(C22="N/A","N/A",IF(B24="N/A","N/A",ROUND(AVERAGE(C22:C25),0)))</f>
        <v>N/A</v>
      </c>
      <c r="F27"/>
      <c r="J27" s="567"/>
      <c r="M27"/>
    </row>
    <row r="28" spans="1:13">
      <c r="A28" s="750"/>
      <c r="B28" s="741"/>
      <c r="C28" s="927"/>
      <c r="F28"/>
      <c r="J28" s="567"/>
      <c r="M28"/>
    </row>
    <row r="29" spans="1:13">
      <c r="A29" s="749" t="s">
        <v>1684</v>
      </c>
      <c r="B29" s="742">
        <v>0</v>
      </c>
      <c r="C29" s="932">
        <f>IF(B29=$B$88,1,IF(B29=$B$89,2,IF(B29=$B$90,3,IF(B29=$B$91,4,IF(B29=$B$92,5, invalid data)))))</f>
        <v>5</v>
      </c>
      <c r="F29"/>
      <c r="J29" s="567"/>
      <c r="M29"/>
    </row>
    <row r="30" spans="1:13">
      <c r="A30" s="750"/>
      <c r="B30" s="741"/>
      <c r="C30" s="929"/>
      <c r="F30"/>
      <c r="J30" s="567"/>
      <c r="M30"/>
    </row>
    <row r="31" spans="1:13">
      <c r="A31" s="620" t="s">
        <v>523</v>
      </c>
      <c r="B31" s="572"/>
      <c r="C31" s="926"/>
      <c r="F31"/>
      <c r="J31" s="567"/>
      <c r="M31"/>
    </row>
    <row r="32" spans="1:13" ht="39" thickBot="1">
      <c r="A32" s="751" t="s">
        <v>1685</v>
      </c>
      <c r="B32" s="752" t="s">
        <v>72</v>
      </c>
      <c r="C32" s="933" t="str">
        <f>IF(B32=B95,1,IF(B32=B96,2,IF(B32=B97,4,IF(B32=B98,5,"N/A"))))</f>
        <v>N/A</v>
      </c>
      <c r="F32"/>
      <c r="J32" s="567"/>
      <c r="M32"/>
    </row>
    <row r="33" spans="1:13" ht="15.75" thickBot="1">
      <c r="A33" s="25"/>
      <c r="B33" s="625" t="s">
        <v>1673</v>
      </c>
      <c r="C33" s="626">
        <f>AVERAGE(C14,C20,C27,C29,C32)</f>
        <v>3</v>
      </c>
      <c r="F33"/>
      <c r="J33" s="567"/>
      <c r="M33"/>
    </row>
    <row r="34" spans="1:13" ht="27.75" customHeight="1">
      <c r="F34"/>
      <c r="J34" s="567"/>
      <c r="M34"/>
    </row>
    <row r="36" spans="1:13" hidden="1">
      <c r="A36" s="4" t="s">
        <v>232</v>
      </c>
      <c r="B36" s="392"/>
      <c r="C36" s="4"/>
    </row>
    <row r="37" spans="1:13" hidden="1">
      <c r="A37" s="4" t="s">
        <v>233</v>
      </c>
      <c r="B37" s="392" t="s">
        <v>182</v>
      </c>
      <c r="C37" s="4"/>
      <c r="D37" s="4"/>
      <c r="E37" s="16"/>
    </row>
    <row r="38" spans="1:13" hidden="1">
      <c r="A38" s="27"/>
      <c r="B38" s="568"/>
      <c r="C38" s="1"/>
      <c r="D38" s="4" t="s">
        <v>1194</v>
      </c>
      <c r="E38" s="16"/>
    </row>
    <row r="39" spans="1:13" hidden="1">
      <c r="A39" s="27" t="s">
        <v>75</v>
      </c>
      <c r="B39" s="568"/>
      <c r="C39" s="1"/>
      <c r="D39" s="1"/>
    </row>
    <row r="40" spans="1:13" hidden="1">
      <c r="A40" s="30" t="s">
        <v>77</v>
      </c>
      <c r="B40" s="569" t="s">
        <v>78</v>
      </c>
      <c r="C40" s="1">
        <v>1</v>
      </c>
      <c r="D40" s="1"/>
    </row>
    <row r="41" spans="1:13" hidden="1">
      <c r="A41" s="29"/>
      <c r="B41" s="569" t="s">
        <v>79</v>
      </c>
      <c r="C41" s="1">
        <v>2</v>
      </c>
      <c r="D41" s="1052" t="s">
        <v>1282</v>
      </c>
    </row>
    <row r="42" spans="1:13" ht="30" hidden="1">
      <c r="A42" s="29"/>
      <c r="B42" s="569" t="s">
        <v>226</v>
      </c>
      <c r="C42" s="1">
        <v>3</v>
      </c>
      <c r="D42" s="1052"/>
    </row>
    <row r="43" spans="1:13" ht="45" hidden="1">
      <c r="A43" s="29"/>
      <c r="B43" s="569" t="s">
        <v>1297</v>
      </c>
      <c r="C43" s="1">
        <v>4</v>
      </c>
      <c r="D43" s="1052"/>
    </row>
    <row r="44" spans="1:13" ht="45" hidden="1">
      <c r="A44" s="29"/>
      <c r="B44" s="569" t="s">
        <v>76</v>
      </c>
      <c r="C44" s="1">
        <v>5</v>
      </c>
      <c r="D44" s="1052"/>
    </row>
    <row r="45" spans="1:13" hidden="1">
      <c r="A45" s="30"/>
      <c r="B45" s="569"/>
      <c r="C45" s="9"/>
      <c r="D45" s="1052"/>
    </row>
    <row r="46" spans="1:13" ht="26.25" hidden="1">
      <c r="A46" s="30" t="s">
        <v>426</v>
      </c>
      <c r="B46" s="569" t="s">
        <v>71</v>
      </c>
      <c r="C46" s="5" t="s">
        <v>72</v>
      </c>
      <c r="D46" s="1052"/>
    </row>
    <row r="47" spans="1:13" hidden="1">
      <c r="A47" s="27"/>
      <c r="B47" s="569" t="s">
        <v>421</v>
      </c>
      <c r="C47" s="1">
        <v>1</v>
      </c>
      <c r="D47" s="1052"/>
    </row>
    <row r="48" spans="1:13" hidden="1">
      <c r="A48" s="27"/>
      <c r="B48" s="569" t="s">
        <v>422</v>
      </c>
      <c r="C48" s="1">
        <v>2</v>
      </c>
      <c r="D48" s="1052"/>
    </row>
    <row r="49" spans="1:4" hidden="1">
      <c r="A49" s="27"/>
      <c r="B49" s="569" t="s">
        <v>423</v>
      </c>
      <c r="C49" s="1">
        <v>3</v>
      </c>
      <c r="D49" s="1052"/>
    </row>
    <row r="50" spans="1:4" hidden="1">
      <c r="A50" s="27"/>
      <c r="B50" s="569" t="s">
        <v>424</v>
      </c>
      <c r="C50" s="1">
        <v>4</v>
      </c>
      <c r="D50" s="1052"/>
    </row>
    <row r="51" spans="1:4" hidden="1">
      <c r="A51" s="27"/>
      <c r="B51" s="569" t="s">
        <v>425</v>
      </c>
      <c r="C51" s="1">
        <v>5</v>
      </c>
      <c r="D51" s="1052"/>
    </row>
    <row r="52" spans="1:4" hidden="1">
      <c r="A52" s="27" t="s">
        <v>174</v>
      </c>
      <c r="B52" s="569"/>
      <c r="C52" s="9"/>
      <c r="D52" s="1052"/>
    </row>
    <row r="53" spans="1:4" hidden="1">
      <c r="A53" s="30" t="s">
        <v>522</v>
      </c>
      <c r="B53" s="569" t="s">
        <v>37</v>
      </c>
      <c r="C53" s="1">
        <v>1</v>
      </c>
      <c r="D53" s="1052"/>
    </row>
    <row r="54" spans="1:4" hidden="1">
      <c r="A54" s="30"/>
      <c r="B54" s="569" t="s">
        <v>70</v>
      </c>
      <c r="C54" s="1">
        <v>2</v>
      </c>
      <c r="D54" s="1052"/>
    </row>
    <row r="55" spans="1:4" hidden="1">
      <c r="A55" s="30"/>
      <c r="B55" s="569" t="s">
        <v>68</v>
      </c>
      <c r="C55" s="1">
        <v>3</v>
      </c>
      <c r="D55" s="1052"/>
    </row>
    <row r="56" spans="1:4" hidden="1">
      <c r="A56" s="30"/>
      <c r="B56" s="569" t="s">
        <v>67</v>
      </c>
      <c r="C56" s="1">
        <v>4</v>
      </c>
      <c r="D56" s="1052"/>
    </row>
    <row r="57" spans="1:4" hidden="1">
      <c r="A57" s="30"/>
      <c r="B57" s="569" t="s">
        <v>69</v>
      </c>
      <c r="C57" s="1">
        <v>5</v>
      </c>
      <c r="D57" s="1052"/>
    </row>
    <row r="58" spans="1:4" hidden="1">
      <c r="A58" s="30"/>
      <c r="B58" s="569"/>
      <c r="C58" s="9"/>
      <c r="D58" s="1052"/>
    </row>
    <row r="59" spans="1:4" hidden="1">
      <c r="A59" s="27"/>
      <c r="B59" s="569"/>
      <c r="C59" s="9"/>
      <c r="D59" s="1052"/>
    </row>
    <row r="60" spans="1:4" hidden="1">
      <c r="A60" s="60" t="s">
        <v>80</v>
      </c>
      <c r="B60" s="569" t="s">
        <v>72</v>
      </c>
      <c r="C60" s="5" t="s">
        <v>72</v>
      </c>
      <c r="D60" s="1052"/>
    </row>
    <row r="61" spans="1:4" hidden="1">
      <c r="A61" s="60"/>
      <c r="B61" s="570">
        <v>0</v>
      </c>
      <c r="C61" s="1">
        <v>5</v>
      </c>
      <c r="D61" s="1052"/>
    </row>
    <row r="62" spans="1:4" hidden="1">
      <c r="A62" s="60"/>
      <c r="B62" s="569" t="s">
        <v>229</v>
      </c>
      <c r="C62" s="1">
        <v>4</v>
      </c>
      <c r="D62" s="1052"/>
    </row>
    <row r="63" spans="1:4" hidden="1">
      <c r="A63" s="60"/>
      <c r="B63" s="569" t="s">
        <v>228</v>
      </c>
      <c r="C63" s="1">
        <v>3</v>
      </c>
      <c r="D63" s="1052"/>
    </row>
    <row r="64" spans="1:4" hidden="1">
      <c r="A64" s="60"/>
      <c r="B64" s="569" t="s">
        <v>222</v>
      </c>
      <c r="C64" s="1">
        <v>2</v>
      </c>
      <c r="D64" s="1052"/>
    </row>
    <row r="65" spans="1:4" hidden="1">
      <c r="A65" s="60"/>
      <c r="B65" s="569" t="s">
        <v>223</v>
      </c>
      <c r="C65" s="1">
        <v>1</v>
      </c>
      <c r="D65" s="1052"/>
    </row>
    <row r="66" spans="1:4" hidden="1">
      <c r="A66" s="60"/>
      <c r="B66" s="569"/>
      <c r="C66" s="1"/>
      <c r="D66" s="1052"/>
    </row>
    <row r="67" spans="1:4" ht="30" hidden="1">
      <c r="A67" s="60" t="s">
        <v>355</v>
      </c>
      <c r="B67" s="569" t="s">
        <v>72</v>
      </c>
      <c r="C67" s="5" t="s">
        <v>72</v>
      </c>
      <c r="D67" s="1052"/>
    </row>
    <row r="68" spans="1:4" hidden="1">
      <c r="A68" s="60"/>
      <c r="B68" s="569" t="s">
        <v>131</v>
      </c>
      <c r="C68" s="1">
        <v>1</v>
      </c>
      <c r="D68" s="1052"/>
    </row>
    <row r="69" spans="1:4" hidden="1">
      <c r="A69" s="60"/>
      <c r="B69" s="569" t="s">
        <v>127</v>
      </c>
      <c r="C69" s="1">
        <v>2</v>
      </c>
      <c r="D69" s="1052"/>
    </row>
    <row r="70" spans="1:4" hidden="1">
      <c r="A70" s="60"/>
      <c r="B70" s="569" t="s">
        <v>128</v>
      </c>
      <c r="C70" s="1">
        <v>3</v>
      </c>
      <c r="D70" s="1052"/>
    </row>
    <row r="71" spans="1:4" hidden="1">
      <c r="A71" s="60"/>
      <c r="B71" s="569" t="s">
        <v>129</v>
      </c>
      <c r="C71" s="1">
        <v>4</v>
      </c>
      <c r="D71" s="1052"/>
    </row>
    <row r="72" spans="1:4" hidden="1">
      <c r="A72" s="60"/>
      <c r="B72" s="569" t="s">
        <v>130</v>
      </c>
      <c r="C72" s="1">
        <v>5</v>
      </c>
      <c r="D72" s="1052"/>
    </row>
    <row r="73" spans="1:4" hidden="1">
      <c r="A73" s="27" t="s">
        <v>133</v>
      </c>
      <c r="B73" s="569"/>
      <c r="C73" s="9"/>
      <c r="D73" s="1052"/>
    </row>
    <row r="74" spans="1:4" hidden="1">
      <c r="A74" s="30" t="s">
        <v>448</v>
      </c>
      <c r="B74" s="569" t="s">
        <v>72</v>
      </c>
      <c r="C74" s="1" t="s">
        <v>259</v>
      </c>
      <c r="D74" s="1052"/>
    </row>
    <row r="75" spans="1:4" hidden="1">
      <c r="A75" s="27"/>
      <c r="B75" s="569" t="s">
        <v>1343</v>
      </c>
      <c r="C75" s="1">
        <v>1</v>
      </c>
      <c r="D75" s="1052"/>
    </row>
    <row r="76" spans="1:4" hidden="1">
      <c r="A76" s="27"/>
      <c r="B76" s="569" t="s">
        <v>1344</v>
      </c>
      <c r="C76" s="1">
        <v>2</v>
      </c>
      <c r="D76" s="1052"/>
    </row>
    <row r="77" spans="1:4" hidden="1">
      <c r="A77" s="27"/>
      <c r="B77" s="569" t="s">
        <v>1342</v>
      </c>
      <c r="C77" s="1">
        <v>3</v>
      </c>
      <c r="D77" s="1052"/>
    </row>
    <row r="78" spans="1:4" hidden="1">
      <c r="A78" s="27"/>
      <c r="B78" s="569" t="s">
        <v>1341</v>
      </c>
      <c r="C78" s="1">
        <v>4</v>
      </c>
      <c r="D78" s="1052"/>
    </row>
    <row r="79" spans="1:4" hidden="1">
      <c r="A79" s="27"/>
      <c r="B79" s="569" t="s">
        <v>37</v>
      </c>
      <c r="C79" s="1">
        <v>5</v>
      </c>
      <c r="D79" s="1052"/>
    </row>
    <row r="80" spans="1:4" hidden="1">
      <c r="A80" s="30"/>
      <c r="B80" s="569"/>
      <c r="C80" s="9"/>
      <c r="D80" s="1052"/>
    </row>
    <row r="81" spans="1:4" ht="26.25" hidden="1">
      <c r="A81" s="30" t="s">
        <v>427</v>
      </c>
      <c r="B81" s="569" t="s">
        <v>72</v>
      </c>
      <c r="C81" s="1"/>
      <c r="D81" s="1052"/>
    </row>
    <row r="82" spans="1:4" hidden="1">
      <c r="A82" s="30"/>
      <c r="B82" s="569" t="s">
        <v>429</v>
      </c>
      <c r="C82" s="1">
        <v>1</v>
      </c>
      <c r="D82" s="1052"/>
    </row>
    <row r="83" spans="1:4" hidden="1">
      <c r="A83" s="30"/>
      <c r="B83" s="569" t="s">
        <v>428</v>
      </c>
      <c r="C83" s="1">
        <v>2</v>
      </c>
      <c r="D83" s="1052"/>
    </row>
    <row r="84" spans="1:4" ht="30" hidden="1">
      <c r="A84" s="30"/>
      <c r="B84" s="569" t="s">
        <v>430</v>
      </c>
      <c r="C84" s="1">
        <v>3</v>
      </c>
      <c r="D84" s="1052"/>
    </row>
    <row r="85" spans="1:4" hidden="1">
      <c r="A85" s="30"/>
      <c r="B85" s="569" t="s">
        <v>431</v>
      </c>
      <c r="C85" s="1">
        <v>4</v>
      </c>
      <c r="D85" s="1052"/>
    </row>
    <row r="86" spans="1:4" hidden="1">
      <c r="A86" s="30"/>
      <c r="B86" s="569" t="s">
        <v>231</v>
      </c>
      <c r="C86" s="1">
        <v>5</v>
      </c>
      <c r="D86" s="1052"/>
    </row>
    <row r="87" spans="1:4" hidden="1">
      <c r="A87" s="30"/>
      <c r="B87" s="569"/>
      <c r="C87" s="9"/>
      <c r="D87" s="1052"/>
    </row>
    <row r="88" spans="1:4" hidden="1">
      <c r="A88" s="27" t="s">
        <v>1535</v>
      </c>
      <c r="B88" s="570" t="s">
        <v>435</v>
      </c>
      <c r="C88" s="1">
        <v>1</v>
      </c>
      <c r="D88" s="1052"/>
    </row>
    <row r="89" spans="1:4" hidden="1">
      <c r="A89" s="31"/>
      <c r="B89" s="569" t="s">
        <v>434</v>
      </c>
      <c r="C89" s="1">
        <v>2</v>
      </c>
      <c r="D89" s="1052"/>
    </row>
    <row r="90" spans="1:4" hidden="1">
      <c r="A90" s="30"/>
      <c r="B90" s="569" t="s">
        <v>433</v>
      </c>
      <c r="C90" s="1">
        <v>3</v>
      </c>
      <c r="D90" s="1052"/>
    </row>
    <row r="91" spans="1:4" hidden="1">
      <c r="A91" s="30"/>
      <c r="B91" s="569" t="s">
        <v>432</v>
      </c>
      <c r="C91" s="1">
        <v>4</v>
      </c>
      <c r="D91" s="1052"/>
    </row>
    <row r="92" spans="1:4" hidden="1">
      <c r="A92" s="30"/>
      <c r="B92" s="570">
        <v>0</v>
      </c>
      <c r="C92" s="1">
        <v>5</v>
      </c>
      <c r="D92" s="1052"/>
    </row>
    <row r="93" spans="1:4" hidden="1">
      <c r="A93" s="27" t="s">
        <v>132</v>
      </c>
      <c r="B93" s="569"/>
      <c r="C93" s="9"/>
      <c r="D93" s="1052"/>
    </row>
    <row r="94" spans="1:4" ht="26.25" hidden="1">
      <c r="A94" s="30" t="s">
        <v>244</v>
      </c>
      <c r="B94" s="569" t="s">
        <v>72</v>
      </c>
      <c r="C94" s="5" t="s">
        <v>72</v>
      </c>
      <c r="D94" s="1052"/>
    </row>
    <row r="95" spans="1:4" hidden="1">
      <c r="A95" s="30" t="s">
        <v>245</v>
      </c>
      <c r="B95" s="569" t="s">
        <v>231</v>
      </c>
      <c r="C95" s="1">
        <v>1</v>
      </c>
      <c r="D95" s="1052"/>
    </row>
    <row r="96" spans="1:4" hidden="1">
      <c r="A96" s="30"/>
      <c r="B96" s="569" t="s">
        <v>229</v>
      </c>
      <c r="C96" s="1">
        <v>2</v>
      </c>
      <c r="D96" s="1052"/>
    </row>
    <row r="97" spans="1:4" hidden="1">
      <c r="A97" s="30"/>
      <c r="B97" s="569" t="s">
        <v>228</v>
      </c>
      <c r="C97" s="1">
        <v>4</v>
      </c>
      <c r="D97" s="1052"/>
    </row>
    <row r="98" spans="1:4" hidden="1">
      <c r="A98" s="30"/>
      <c r="B98" s="569" t="s">
        <v>230</v>
      </c>
      <c r="C98" s="1">
        <v>5</v>
      </c>
      <c r="D98" s="1052"/>
    </row>
    <row r="99" spans="1:4" hidden="1">
      <c r="A99" s="30"/>
      <c r="B99" s="569"/>
      <c r="C99" s="9"/>
      <c r="D99" s="1052"/>
    </row>
    <row r="100" spans="1:4" hidden="1">
      <c r="D100" s="1052"/>
    </row>
    <row r="101" spans="1:4" hidden="1"/>
    <row r="102" spans="1:4" hidden="1"/>
    <row r="143" spans="1:1">
      <c r="A143" t="s">
        <v>36</v>
      </c>
    </row>
    <row r="144" spans="1:1">
      <c r="A144" t="s">
        <v>37</v>
      </c>
    </row>
  </sheetData>
  <sheetProtection algorithmName="SHA-512" hashValue="Jp2QwRtGeAmoULA+oQmjycZ7OJASFpuBn0zQvLIp5z1X/Mw3z7Irwxko7Cxo6GUpShlU5wxi/8sQSs4GSL2/7Q==" saltValue="6z2hZR7Sl7aupgiAhO7E/g==" spinCount="100000" sheet="1" objects="1" scenarios="1"/>
  <customSheetViews>
    <customSheetView guid="{7EE74243-CD96-4613-8F82-08E917A91D99}" scale="70" topLeftCell="A33">
      <selection activeCell="F47" sqref="F47"/>
      <pageMargins left="0.7" right="0.7" top="0.75" bottom="0.75" header="0.3" footer="0.3"/>
      <pageSetup paperSize="9" orientation="portrait" r:id="rId1"/>
    </customSheetView>
    <customSheetView guid="{77787C9C-D755-4D99-8252-290109F2917C}" scale="70" topLeftCell="A33">
      <selection activeCell="F47" sqref="F47"/>
      <pageMargins left="0.7" right="0.7" top="0.75" bottom="0.75" header="0.3" footer="0.3"/>
      <pageSetup paperSize="9" orientation="portrait" r:id="rId2"/>
    </customSheetView>
  </customSheetViews>
  <mergeCells count="7">
    <mergeCell ref="E8:I8"/>
    <mergeCell ref="D41:D100"/>
    <mergeCell ref="F10:I10"/>
    <mergeCell ref="F11:I11"/>
    <mergeCell ref="F12:I12"/>
    <mergeCell ref="F13:I13"/>
    <mergeCell ref="F14:I14"/>
  </mergeCells>
  <dataValidations count="10">
    <dataValidation type="list" allowBlank="1" showInputMessage="1" showErrorMessage="1" sqref="B99" xr:uid="{00000000-0002-0000-0400-000000000000}">
      <formula1>$B$95:$B$98</formula1>
    </dataValidation>
    <dataValidation type="list" allowBlank="1" showInputMessage="1" showErrorMessage="1" sqref="B29" xr:uid="{00000000-0002-0000-0400-000001000000}">
      <formula1>$B$88:$B$92</formula1>
    </dataValidation>
    <dataValidation type="list" allowBlank="1" showInputMessage="1" showErrorMessage="1" sqref="B24" xr:uid="{00000000-0002-0000-0400-000002000000}">
      <formula1>$B$81:$B$87</formula1>
    </dataValidation>
    <dataValidation type="list" allowBlank="1" showInputMessage="1" showErrorMessage="1" sqref="B17" xr:uid="{00000000-0002-0000-0400-000003000000}">
      <formula1>$B$61:$B$65</formula1>
    </dataValidation>
    <dataValidation type="list" allowBlank="1" showInputMessage="1" showErrorMessage="1" sqref="B10" xr:uid="{00000000-0002-0000-0400-000004000000}">
      <formula1>$B$40:$B$44</formula1>
    </dataValidation>
    <dataValidation type="list" allowBlank="1" showInputMessage="1" showErrorMessage="1" sqref="B12" xr:uid="{00000000-0002-0000-0400-000005000000}">
      <formula1>$B$46:$B$51</formula1>
    </dataValidation>
    <dataValidation type="list" allowBlank="1" showInputMessage="1" showErrorMessage="1" sqref="B18" xr:uid="{00000000-0002-0000-0400-000006000000}">
      <formula1>$B$67:$B$72</formula1>
    </dataValidation>
    <dataValidation type="list" allowBlank="1" showInputMessage="1" showErrorMessage="1" sqref="B16" xr:uid="{00000000-0002-0000-0400-000007000000}">
      <formula1>$B$60:$B$65</formula1>
    </dataValidation>
    <dataValidation type="list" allowBlank="1" showInputMessage="1" showErrorMessage="1" sqref="B32" xr:uid="{00000000-0002-0000-0400-000008000000}">
      <formula1>$B$94:$B$98</formula1>
    </dataValidation>
    <dataValidation type="list" allowBlank="1" showInputMessage="1" showErrorMessage="1" sqref="B22" xr:uid="{00000000-0002-0000-0400-000009000000}">
      <formula1>$B$74:$B$79</formula1>
    </dataValidation>
  </dataValidation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7:J98"/>
  <sheetViews>
    <sheetView showGridLines="0" zoomScaleNormal="100" workbookViewId="0">
      <selection activeCell="B10" sqref="B10"/>
    </sheetView>
  </sheetViews>
  <sheetFormatPr defaultRowHeight="15"/>
  <cols>
    <col min="1" max="1" width="68.28515625" customWidth="1"/>
    <col min="2" max="2" width="32.42578125" bestFit="1" customWidth="1"/>
    <col min="3" max="3" width="13.28515625" customWidth="1"/>
    <col min="5" max="5" width="16.28515625" customWidth="1"/>
    <col min="8" max="8" width="25.28515625" customWidth="1"/>
    <col min="9" max="9" width="29.85546875" customWidth="1"/>
    <col min="10" max="10" width="15.85546875" customWidth="1"/>
    <col min="11" max="11" width="20.5703125" customWidth="1"/>
    <col min="12" max="12" width="19.85546875" customWidth="1"/>
    <col min="13" max="13" width="13.140625" customWidth="1"/>
  </cols>
  <sheetData>
    <row r="7" spans="1:10" ht="15.75" thickBot="1"/>
    <row r="8" spans="1:10" ht="15.75" thickBot="1">
      <c r="A8" s="705" t="s">
        <v>349</v>
      </c>
      <c r="B8" s="598"/>
      <c r="C8" s="931" t="s">
        <v>0</v>
      </c>
      <c r="E8" s="373" t="s">
        <v>1690</v>
      </c>
      <c r="F8" s="393"/>
      <c r="G8" s="393"/>
      <c r="H8" s="393"/>
      <c r="I8" s="393"/>
      <c r="J8" s="596"/>
    </row>
    <row r="9" spans="1:10" ht="39" customHeight="1">
      <c r="A9" s="737" t="s">
        <v>2</v>
      </c>
      <c r="B9" s="732"/>
      <c r="C9" s="929"/>
      <c r="E9" s="962" t="s">
        <v>220</v>
      </c>
      <c r="F9" s="1056" t="s">
        <v>221</v>
      </c>
      <c r="G9" s="1056"/>
      <c r="H9" s="1056"/>
      <c r="I9" s="1056"/>
      <c r="J9" s="931" t="s">
        <v>0</v>
      </c>
    </row>
    <row r="10" spans="1:10" ht="35.25" customHeight="1">
      <c r="A10" s="542" t="s">
        <v>1670</v>
      </c>
      <c r="B10" s="623" t="s">
        <v>37</v>
      </c>
      <c r="C10" s="926"/>
      <c r="E10" s="955" t="str">
        <f>A9</f>
        <v>Historic features</v>
      </c>
      <c r="F10" s="1058" t="s">
        <v>253</v>
      </c>
      <c r="G10" s="1058"/>
      <c r="H10" s="1058"/>
      <c r="I10" s="1058"/>
      <c r="J10" s="951" t="str">
        <f>C13</f>
        <v>N/A</v>
      </c>
    </row>
    <row r="11" spans="1:10" ht="50.25" customHeight="1">
      <c r="A11" s="542"/>
      <c r="B11" s="624"/>
      <c r="C11" s="926"/>
      <c r="E11" s="955" t="str">
        <f>A14</f>
        <v>Landscape management</v>
      </c>
      <c r="F11" s="1058" t="s">
        <v>1529</v>
      </c>
      <c r="G11" s="1058"/>
      <c r="H11" s="1058"/>
      <c r="I11" s="1058"/>
      <c r="J11" s="951">
        <f>C15</f>
        <v>1</v>
      </c>
    </row>
    <row r="12" spans="1:10" ht="48.75" customHeight="1">
      <c r="A12" s="542" t="s">
        <v>1687</v>
      </c>
      <c r="B12" s="623" t="s">
        <v>30</v>
      </c>
      <c r="C12" s="926">
        <f>IF(B12=B37,1,IF(B12=B38,2,IF(B12=B39,3,IF(B12=B40,5,IF(B12=B41,"N/A","invalid data")))))</f>
        <v>1</v>
      </c>
      <c r="E12" s="955" t="str">
        <f>A19</f>
        <v>Management of boundaries</v>
      </c>
      <c r="F12" s="1058" t="s">
        <v>361</v>
      </c>
      <c r="G12" s="1058"/>
      <c r="H12" s="1058"/>
      <c r="I12" s="1058"/>
      <c r="J12" s="963">
        <f>C21</f>
        <v>1</v>
      </c>
    </row>
    <row r="13" spans="1:10" ht="39" customHeight="1" thickBot="1">
      <c r="A13" s="738"/>
      <c r="B13" s="735"/>
      <c r="C13" s="932" t="str">
        <f>IF(B10="yes",ROUND(AVERAGE(C10:C12),0),IF(B10="no","N/A","invalid data"))</f>
        <v>N/A</v>
      </c>
      <c r="E13" s="959" t="s">
        <v>1213</v>
      </c>
      <c r="F13" s="1060" t="s">
        <v>1214</v>
      </c>
      <c r="G13" s="1060"/>
      <c r="H13" s="1060"/>
      <c r="I13" s="1060"/>
      <c r="J13" s="953" t="str">
        <f>C26</f>
        <v>N/A</v>
      </c>
    </row>
    <row r="14" spans="1:10" ht="30" customHeight="1" thickBot="1">
      <c r="A14" s="737" t="s">
        <v>1527</v>
      </c>
      <c r="B14" s="732"/>
      <c r="C14" s="929"/>
      <c r="I14" s="625" t="s">
        <v>1673</v>
      </c>
      <c r="J14" s="626">
        <f>C27</f>
        <v>1</v>
      </c>
    </row>
    <row r="15" spans="1:10">
      <c r="A15" s="542" t="s">
        <v>1338</v>
      </c>
      <c r="B15" s="623" t="s">
        <v>31</v>
      </c>
      <c r="C15" s="926">
        <f>IF(B15=B44,1,IF(B15=B45,2,IF(B15=B46,3,IF(B15=B47,4,IF(B15=B48,5,"invalid data")))))</f>
        <v>1</v>
      </c>
      <c r="E15" s="10"/>
      <c r="F15" s="10"/>
      <c r="G15" s="10"/>
      <c r="H15" s="10"/>
      <c r="I15" s="10"/>
    </row>
    <row r="16" spans="1:10" ht="25.5">
      <c r="A16" s="542" t="s">
        <v>1528</v>
      </c>
      <c r="B16" s="623" t="s">
        <v>31</v>
      </c>
      <c r="C16" s="926">
        <f>IF(B16=B50,1,IF(B16=B51,2,IF(B16=B52,3,IF(B16=B53,4,IF(B16=B54,5,"invalid data")))))</f>
        <v>1</v>
      </c>
      <c r="E16" s="10"/>
      <c r="F16" s="1059"/>
      <c r="G16" s="1059"/>
      <c r="H16" s="1059"/>
      <c r="I16" s="1059"/>
    </row>
    <row r="17" spans="1:9">
      <c r="A17" s="738"/>
      <c r="B17" s="733"/>
      <c r="C17" s="943">
        <f>ROUND(AVERAGE(C15:C16),0)</f>
        <v>1</v>
      </c>
      <c r="E17" s="10"/>
      <c r="F17" s="10"/>
      <c r="G17" s="10"/>
      <c r="H17" s="10"/>
      <c r="I17" s="10"/>
    </row>
    <row r="18" spans="1:9">
      <c r="A18" s="739"/>
      <c r="B18" s="734"/>
      <c r="C18" s="937"/>
      <c r="E18" s="10"/>
      <c r="F18" s="10"/>
      <c r="G18" s="10"/>
      <c r="H18" s="10"/>
      <c r="I18" s="10"/>
    </row>
    <row r="19" spans="1:9">
      <c r="A19" s="628" t="s">
        <v>16</v>
      </c>
      <c r="B19" s="526"/>
      <c r="C19" s="926"/>
      <c r="E19" s="10"/>
      <c r="F19" s="10"/>
      <c r="G19" s="10"/>
      <c r="H19" s="10"/>
      <c r="I19" s="10"/>
    </row>
    <row r="20" spans="1:9" ht="38.25">
      <c r="A20" s="542" t="s">
        <v>1688</v>
      </c>
      <c r="B20" s="544" t="s">
        <v>37</v>
      </c>
      <c r="C20" s="926">
        <f>IF(B20=B63,"N/A",IF(B20=B60,1,IF(B20=B61,3,IF(B20=B62,5,"invalid data"))))</f>
        <v>1</v>
      </c>
    </row>
    <row r="21" spans="1:9" ht="46.5" customHeight="1">
      <c r="A21" s="628"/>
      <c r="B21" s="526"/>
      <c r="C21" s="942">
        <f>C20</f>
        <v>1</v>
      </c>
    </row>
    <row r="22" spans="1:9" ht="18.75" customHeight="1">
      <c r="A22" s="737"/>
      <c r="B22" s="732"/>
      <c r="C22" s="937"/>
    </row>
    <row r="23" spans="1:9">
      <c r="A23" s="628" t="s">
        <v>1686</v>
      </c>
      <c r="B23" s="526"/>
      <c r="C23" s="934"/>
    </row>
    <row r="24" spans="1:9">
      <c r="A24" s="542" t="s">
        <v>1689</v>
      </c>
      <c r="B24" s="544" t="s">
        <v>1211</v>
      </c>
      <c r="C24" s="935" t="str">
        <f>IF(B24=B65,1,IF(B24=B66,3,IF(B24=B67,5,IF(B24=B68,"N/A","invalid data"))))</f>
        <v>N/A</v>
      </c>
    </row>
    <row r="25" spans="1:9">
      <c r="A25" s="542" t="s">
        <v>1339</v>
      </c>
      <c r="B25" s="544" t="s">
        <v>1212</v>
      </c>
      <c r="C25" s="935" t="str">
        <f>IF(B25=B69,1,IF(B25=B70,3,IF(B25=B71,5,IF(B25=B72,"N/A","invalid data"))))</f>
        <v>N/A</v>
      </c>
    </row>
    <row r="26" spans="1:9" ht="22.5" customHeight="1" thickBot="1">
      <c r="A26" s="629"/>
      <c r="B26" s="740"/>
      <c r="C26" s="946" t="str">
        <f>IF(AND(B24=B68,B25=B72),"N/A",ROUND(AVERAGE(C24:C25),0))</f>
        <v>N/A</v>
      </c>
    </row>
    <row r="27" spans="1:9" ht="15.75" thickBot="1">
      <c r="B27" s="625" t="s">
        <v>1673</v>
      </c>
      <c r="C27" s="626">
        <f>AVERAGE(C13,C17,C21,C26)</f>
        <v>1</v>
      </c>
    </row>
    <row r="29" spans="1:9" hidden="1">
      <c r="E29" s="7"/>
    </row>
    <row r="30" spans="1:9" hidden="1">
      <c r="A30" s="4" t="s">
        <v>232</v>
      </c>
      <c r="B30" s="4"/>
      <c r="C30" s="4"/>
    </row>
    <row r="31" spans="1:9" hidden="1">
      <c r="A31" s="4" t="s">
        <v>233</v>
      </c>
      <c r="B31" s="4" t="s">
        <v>182</v>
      </c>
      <c r="C31" s="4"/>
      <c r="D31" s="4"/>
    </row>
    <row r="32" spans="1:9" hidden="1">
      <c r="A32" s="27" t="s">
        <v>2</v>
      </c>
      <c r="B32" s="9" t="s">
        <v>2</v>
      </c>
      <c r="C32" s="1"/>
      <c r="D32" s="4" t="s">
        <v>1194</v>
      </c>
    </row>
    <row r="33" spans="1:4" hidden="1">
      <c r="A33" s="29" t="s">
        <v>256</v>
      </c>
      <c r="B33" s="9"/>
      <c r="C33" s="1"/>
      <c r="D33" s="1"/>
    </row>
    <row r="34" spans="1:4" ht="15" hidden="1" customHeight="1">
      <c r="A34" s="27"/>
      <c r="B34" s="1" t="s">
        <v>36</v>
      </c>
      <c r="C34" s="1" t="s">
        <v>257</v>
      </c>
      <c r="D34" s="1057" t="s">
        <v>1196</v>
      </c>
    </row>
    <row r="35" spans="1:4" hidden="1">
      <c r="A35" s="27"/>
      <c r="B35" s="1" t="s">
        <v>37</v>
      </c>
      <c r="C35" s="1" t="s">
        <v>257</v>
      </c>
      <c r="D35" s="1057"/>
    </row>
    <row r="36" spans="1:4" ht="26.25" hidden="1">
      <c r="A36" s="29" t="s">
        <v>254</v>
      </c>
      <c r="B36" s="9"/>
      <c r="C36" s="1"/>
      <c r="D36" s="1057"/>
    </row>
    <row r="37" spans="1:4" hidden="1">
      <c r="A37" s="27"/>
      <c r="B37" s="1" t="s">
        <v>30</v>
      </c>
      <c r="C37" s="1">
        <v>1</v>
      </c>
      <c r="D37" s="1057"/>
    </row>
    <row r="38" spans="1:4" hidden="1">
      <c r="A38" s="27"/>
      <c r="B38" s="1" t="s">
        <v>32</v>
      </c>
      <c r="C38" s="1">
        <v>2</v>
      </c>
      <c r="D38" s="1057"/>
    </row>
    <row r="39" spans="1:4" hidden="1">
      <c r="A39" s="27"/>
      <c r="B39" s="1" t="s">
        <v>255</v>
      </c>
      <c r="C39" s="1">
        <v>3</v>
      </c>
      <c r="D39" s="1057"/>
    </row>
    <row r="40" spans="1:4" hidden="1">
      <c r="A40" s="29"/>
      <c r="B40" s="1" t="s">
        <v>258</v>
      </c>
      <c r="C40" s="1">
        <v>5</v>
      </c>
      <c r="D40" s="1057"/>
    </row>
    <row r="41" spans="1:4" hidden="1">
      <c r="A41" s="29"/>
      <c r="B41" s="1" t="s">
        <v>72</v>
      </c>
      <c r="C41" s="5" t="s">
        <v>259</v>
      </c>
      <c r="D41" s="1"/>
    </row>
    <row r="42" spans="1:4" hidden="1">
      <c r="A42" s="29"/>
      <c r="B42" s="1"/>
      <c r="C42" s="1"/>
      <c r="D42" s="1"/>
    </row>
    <row r="43" spans="1:4" hidden="1">
      <c r="A43" s="27" t="str">
        <f>A14</f>
        <v>Landscape management</v>
      </c>
      <c r="B43" s="9"/>
      <c r="C43" s="1"/>
      <c r="D43" s="1"/>
    </row>
    <row r="44" spans="1:4" hidden="1">
      <c r="A44" s="29" t="str">
        <f>A15</f>
        <v xml:space="preserve">How characteristic is the farm of the local area? </v>
      </c>
      <c r="B44" s="1" t="s">
        <v>31</v>
      </c>
      <c r="C44" s="1">
        <v>1</v>
      </c>
      <c r="D44" s="1"/>
    </row>
    <row r="45" spans="1:4" hidden="1">
      <c r="A45" s="29"/>
      <c r="B45" s="1" t="s">
        <v>32</v>
      </c>
      <c r="C45" s="1">
        <v>2</v>
      </c>
      <c r="D45" s="1057" t="s">
        <v>1195</v>
      </c>
    </row>
    <row r="46" spans="1:4" hidden="1">
      <c r="A46" s="29"/>
      <c r="B46" s="1" t="s">
        <v>33</v>
      </c>
      <c r="C46" s="1">
        <v>3</v>
      </c>
      <c r="D46" s="1057"/>
    </row>
    <row r="47" spans="1:4" hidden="1">
      <c r="A47" s="29"/>
      <c r="B47" s="1" t="s">
        <v>34</v>
      </c>
      <c r="C47" s="1">
        <v>4</v>
      </c>
      <c r="D47" s="1057"/>
    </row>
    <row r="48" spans="1:4" hidden="1">
      <c r="A48" s="29"/>
      <c r="B48" s="1" t="s">
        <v>35</v>
      </c>
      <c r="C48" s="1">
        <v>5</v>
      </c>
      <c r="D48" s="1057"/>
    </row>
    <row r="49" spans="1:4" hidden="1">
      <c r="A49" s="29"/>
      <c r="B49" s="1"/>
      <c r="C49" s="1"/>
      <c r="D49" s="1057"/>
    </row>
    <row r="50" spans="1:4" ht="26.25" hidden="1">
      <c r="A50" s="29" t="str">
        <f>A16</f>
        <v>Do you carefully select the sites for growing non-food crops (e.g. siting on marginal land)</v>
      </c>
      <c r="B50" s="1" t="s">
        <v>31</v>
      </c>
      <c r="C50" s="1">
        <v>1</v>
      </c>
      <c r="D50" s="251"/>
    </row>
    <row r="51" spans="1:4" hidden="1">
      <c r="A51" s="29"/>
      <c r="B51" s="1" t="s">
        <v>32</v>
      </c>
      <c r="C51" s="1">
        <v>2</v>
      </c>
      <c r="D51" s="251"/>
    </row>
    <row r="52" spans="1:4" hidden="1">
      <c r="A52" s="29"/>
      <c r="B52" s="1" t="s">
        <v>33</v>
      </c>
      <c r="C52" s="1">
        <v>3</v>
      </c>
      <c r="D52" s="251"/>
    </row>
    <row r="53" spans="1:4" hidden="1">
      <c r="A53" s="29"/>
      <c r="B53" s="1" t="s">
        <v>34</v>
      </c>
      <c r="C53" s="1">
        <v>4</v>
      </c>
      <c r="D53" s="251"/>
    </row>
    <row r="54" spans="1:4" hidden="1">
      <c r="A54" s="29"/>
      <c r="B54" s="1" t="s">
        <v>35</v>
      </c>
      <c r="C54" s="1">
        <v>5</v>
      </c>
      <c r="D54" s="251"/>
    </row>
    <row r="55" spans="1:4" hidden="1">
      <c r="A55" s="29"/>
      <c r="B55" s="1"/>
      <c r="C55" s="1"/>
      <c r="D55" s="251"/>
    </row>
    <row r="56" spans="1:4" hidden="1">
      <c r="A56" s="27"/>
      <c r="B56" s="9"/>
      <c r="C56" s="1"/>
      <c r="D56" s="251"/>
    </row>
    <row r="57" spans="1:4" hidden="1">
      <c r="A57" s="29"/>
      <c r="B57" s="1"/>
      <c r="C57" s="1"/>
      <c r="D57" s="1"/>
    </row>
    <row r="58" spans="1:4" hidden="1">
      <c r="A58" s="27" t="s">
        <v>16</v>
      </c>
      <c r="B58" s="9" t="s">
        <v>16</v>
      </c>
      <c r="C58" s="1"/>
      <c r="D58" s="1"/>
    </row>
    <row r="59" spans="1:4" ht="15" hidden="1" customHeight="1">
      <c r="A59" s="29" t="s">
        <v>360</v>
      </c>
      <c r="B59" s="1"/>
      <c r="C59" s="1"/>
      <c r="D59" s="251" t="s">
        <v>1196</v>
      </c>
    </row>
    <row r="60" spans="1:4" hidden="1">
      <c r="A60" s="29"/>
      <c r="B60" s="1" t="s">
        <v>37</v>
      </c>
      <c r="C60" s="1">
        <v>1</v>
      </c>
      <c r="D60" s="1"/>
    </row>
    <row r="61" spans="1:4" hidden="1">
      <c r="A61" s="29"/>
      <c r="B61" s="1" t="s">
        <v>377</v>
      </c>
      <c r="C61" s="1">
        <v>3</v>
      </c>
      <c r="D61" s="1"/>
    </row>
    <row r="62" spans="1:4" hidden="1">
      <c r="A62" s="29"/>
      <c r="B62" s="1" t="s">
        <v>378</v>
      </c>
      <c r="C62" s="1">
        <v>5</v>
      </c>
      <c r="D62" s="1"/>
    </row>
    <row r="63" spans="1:4" hidden="1">
      <c r="A63" s="29"/>
      <c r="B63" s="1" t="s">
        <v>72</v>
      </c>
      <c r="C63" s="1" t="s">
        <v>72</v>
      </c>
      <c r="D63" s="1"/>
    </row>
    <row r="64" spans="1:4" hidden="1">
      <c r="A64" s="27" t="s">
        <v>1206</v>
      </c>
      <c r="B64" s="1"/>
      <c r="C64" s="1"/>
      <c r="D64" s="1"/>
    </row>
    <row r="65" spans="1:4" hidden="1">
      <c r="A65" s="29" t="s">
        <v>1207</v>
      </c>
      <c r="B65" s="1" t="s">
        <v>37</v>
      </c>
      <c r="C65" s="1">
        <v>1</v>
      </c>
      <c r="D65" s="1"/>
    </row>
    <row r="66" spans="1:4" ht="60" hidden="1">
      <c r="A66" s="29"/>
      <c r="B66" s="1" t="s">
        <v>1209</v>
      </c>
      <c r="C66" s="1">
        <v>3</v>
      </c>
      <c r="D66" s="48" t="s">
        <v>1258</v>
      </c>
    </row>
    <row r="67" spans="1:4" ht="45" hidden="1">
      <c r="A67" s="29"/>
      <c r="B67" s="1" t="s">
        <v>1210</v>
      </c>
      <c r="C67" s="1">
        <v>5</v>
      </c>
      <c r="D67" s="48" t="s">
        <v>1259</v>
      </c>
    </row>
    <row r="68" spans="1:4" hidden="1">
      <c r="A68" s="29"/>
      <c r="B68" s="1" t="s">
        <v>1211</v>
      </c>
      <c r="C68" s="1" t="s">
        <v>72</v>
      </c>
      <c r="D68" s="1"/>
    </row>
    <row r="69" spans="1:4" hidden="1">
      <c r="A69" s="29" t="s">
        <v>1208</v>
      </c>
      <c r="B69" s="1" t="s">
        <v>37</v>
      </c>
      <c r="C69" s="1">
        <v>1</v>
      </c>
      <c r="D69" s="1"/>
    </row>
    <row r="70" spans="1:4" hidden="1">
      <c r="A70" s="29"/>
      <c r="B70" s="1" t="s">
        <v>1209</v>
      </c>
      <c r="C70" s="1">
        <v>3</v>
      </c>
      <c r="D70" s="1"/>
    </row>
    <row r="71" spans="1:4" hidden="1">
      <c r="A71" s="29"/>
      <c r="B71" s="1" t="s">
        <v>1210</v>
      </c>
      <c r="C71" s="1">
        <v>5</v>
      </c>
      <c r="D71" s="1"/>
    </row>
    <row r="72" spans="1:4" hidden="1">
      <c r="A72" s="29"/>
      <c r="B72" s="1" t="s">
        <v>1212</v>
      </c>
      <c r="C72" s="1" t="s">
        <v>72</v>
      </c>
      <c r="D72" s="1"/>
    </row>
    <row r="73" spans="1:4" hidden="1">
      <c r="D73" s="1"/>
    </row>
    <row r="74" spans="1:4" hidden="1">
      <c r="A74" s="7" t="s">
        <v>1215</v>
      </c>
    </row>
    <row r="75" spans="1:4" hidden="1">
      <c r="A75" s="34" t="s">
        <v>27</v>
      </c>
      <c r="B75" s="34" t="s">
        <v>1216</v>
      </c>
      <c r="C75" s="34" t="s">
        <v>147</v>
      </c>
    </row>
    <row r="76" spans="1:4" hidden="1">
      <c r="A76" s="28" t="s">
        <v>1217</v>
      </c>
      <c r="B76" s="28" t="s">
        <v>1239</v>
      </c>
      <c r="C76" s="28" t="s">
        <v>1250</v>
      </c>
    </row>
    <row r="77" spans="1:4" hidden="1">
      <c r="A77" s="28" t="s">
        <v>1218</v>
      </c>
      <c r="B77" s="28" t="s">
        <v>1240</v>
      </c>
      <c r="C77" s="28" t="s">
        <v>1251</v>
      </c>
    </row>
    <row r="78" spans="1:4" hidden="1">
      <c r="A78" s="28" t="s">
        <v>1219</v>
      </c>
      <c r="B78" s="28" t="s">
        <v>1241</v>
      </c>
      <c r="C78" s="28" t="s">
        <v>1252</v>
      </c>
    </row>
    <row r="79" spans="1:4" hidden="1">
      <c r="A79" s="28" t="s">
        <v>1220</v>
      </c>
      <c r="B79" s="28" t="s">
        <v>1242</v>
      </c>
      <c r="C79" s="28" t="s">
        <v>1253</v>
      </c>
    </row>
    <row r="80" spans="1:4" hidden="1">
      <c r="A80" s="28" t="s">
        <v>1221</v>
      </c>
      <c r="B80" s="28" t="s">
        <v>1243</v>
      </c>
      <c r="C80" s="28" t="s">
        <v>1254</v>
      </c>
    </row>
    <row r="81" spans="1:3" hidden="1">
      <c r="A81" s="28" t="s">
        <v>1222</v>
      </c>
      <c r="B81" s="28" t="s">
        <v>1244</v>
      </c>
      <c r="C81" s="28" t="s">
        <v>1255</v>
      </c>
    </row>
    <row r="82" spans="1:3" hidden="1">
      <c r="A82" s="28" t="s">
        <v>1223</v>
      </c>
      <c r="B82" s="28" t="s">
        <v>1245</v>
      </c>
      <c r="C82" s="28" t="s">
        <v>1256</v>
      </c>
    </row>
    <row r="83" spans="1:3" hidden="1">
      <c r="A83" s="28" t="s">
        <v>1224</v>
      </c>
      <c r="B83" s="28" t="s">
        <v>1246</v>
      </c>
      <c r="C83" s="28" t="s">
        <v>1257</v>
      </c>
    </row>
    <row r="84" spans="1:3" hidden="1">
      <c r="A84" s="28" t="s">
        <v>1225</v>
      </c>
      <c r="B84" s="28" t="s">
        <v>1247</v>
      </c>
      <c r="C84" s="28"/>
    </row>
    <row r="85" spans="1:3" hidden="1">
      <c r="A85" s="28" t="s">
        <v>1226</v>
      </c>
      <c r="B85" s="28" t="s">
        <v>1248</v>
      </c>
      <c r="C85" s="28"/>
    </row>
    <row r="86" spans="1:3" hidden="1">
      <c r="A86" s="28" t="s">
        <v>1227</v>
      </c>
      <c r="B86" s="28" t="s">
        <v>1249</v>
      </c>
      <c r="C86" s="28"/>
    </row>
    <row r="87" spans="1:3" hidden="1">
      <c r="A87" s="28" t="s">
        <v>1228</v>
      </c>
      <c r="B87" s="28"/>
      <c r="C87" s="28"/>
    </row>
    <row r="88" spans="1:3" hidden="1">
      <c r="A88" s="28" t="s">
        <v>1229</v>
      </c>
    </row>
    <row r="89" spans="1:3" hidden="1">
      <c r="A89" s="28" t="s">
        <v>1230</v>
      </c>
    </row>
    <row r="90" spans="1:3" hidden="1">
      <c r="A90" s="28" t="s">
        <v>1231</v>
      </c>
    </row>
    <row r="91" spans="1:3" hidden="1">
      <c r="A91" s="28" t="s">
        <v>1232</v>
      </c>
    </row>
    <row r="92" spans="1:3" hidden="1">
      <c r="A92" s="28" t="s">
        <v>1233</v>
      </c>
    </row>
    <row r="93" spans="1:3" hidden="1">
      <c r="A93" s="28" t="s">
        <v>1234</v>
      </c>
    </row>
    <row r="94" spans="1:3" hidden="1">
      <c r="A94" s="28" t="s">
        <v>1235</v>
      </c>
    </row>
    <row r="95" spans="1:3" hidden="1">
      <c r="A95" s="28" t="s">
        <v>1236</v>
      </c>
    </row>
    <row r="96" spans="1:3" hidden="1">
      <c r="A96" s="28" t="s">
        <v>1237</v>
      </c>
    </row>
    <row r="97" spans="1:1" hidden="1">
      <c r="A97" s="28" t="s">
        <v>1238</v>
      </c>
    </row>
    <row r="98" spans="1:1" hidden="1"/>
  </sheetData>
  <sheetProtection algorithmName="SHA-512" hashValue="/QFoeyHHZYITY7QfwCwFcOTK/yX1uTMKQii0fewC/2JA2Gv3Esr/RpIZiPJnkwcj2R0ukYNVrJBzwOoeQ7ucdA==" saltValue="u2dY9ekDlRCHTRg1OFM5Gw==" spinCount="100000" sheet="1" objects="1" scenarios="1"/>
  <customSheetViews>
    <customSheetView guid="{7EE74243-CD96-4613-8F82-08E917A91D99}" scale="85">
      <selection activeCell="D13" sqref="D13"/>
      <pageMargins left="0.7" right="0.7" top="0.75" bottom="0.75" header="0.3" footer="0.3"/>
      <pageSetup paperSize="9" orientation="portrait" r:id="rId1"/>
    </customSheetView>
    <customSheetView guid="{77787C9C-D755-4D99-8252-290109F2917C}" scale="85">
      <selection activeCell="D13" sqref="D13"/>
      <pageMargins left="0.7" right="0.7" top="0.75" bottom="0.75" header="0.3" footer="0.3"/>
      <pageSetup paperSize="9" orientation="portrait" r:id="rId2"/>
    </customSheetView>
  </customSheetViews>
  <mergeCells count="8">
    <mergeCell ref="F9:I9"/>
    <mergeCell ref="D45:D49"/>
    <mergeCell ref="F10:I10"/>
    <mergeCell ref="F12:I12"/>
    <mergeCell ref="F16:I16"/>
    <mergeCell ref="D34:D40"/>
    <mergeCell ref="F13:I13"/>
    <mergeCell ref="F11:I11"/>
  </mergeCells>
  <dataValidations count="6">
    <dataValidation type="list" allowBlank="1" showInputMessage="1" showErrorMessage="1" sqref="B20" xr:uid="{00000000-0002-0000-0500-000000000000}">
      <formula1>$B$59:$B$63</formula1>
    </dataValidation>
    <dataValidation type="list" allowBlank="1" showInputMessage="1" showErrorMessage="1" sqref="B15:B16" xr:uid="{00000000-0002-0000-0500-000001000000}">
      <formula1>$B$44:$B$48</formula1>
    </dataValidation>
    <dataValidation type="list" allowBlank="1" showInputMessage="1" showErrorMessage="1" sqref="B12" xr:uid="{00000000-0002-0000-0500-000002000000}">
      <formula1>$B$36:$B$41</formula1>
    </dataValidation>
    <dataValidation type="list" allowBlank="1" showInputMessage="1" showErrorMessage="1" sqref="B10" xr:uid="{00000000-0002-0000-0500-000003000000}">
      <formula1>$B$33:$B$35</formula1>
    </dataValidation>
    <dataValidation type="list" allowBlank="1" showInputMessage="1" showErrorMessage="1" sqref="B24" xr:uid="{00000000-0002-0000-0500-000004000000}">
      <formula1>$B$65:$B$68</formula1>
    </dataValidation>
    <dataValidation type="list" allowBlank="1" showInputMessage="1" showErrorMessage="1" sqref="B25" xr:uid="{00000000-0002-0000-0500-000005000000}">
      <formula1>$B$69:$B$72</formula1>
    </dataValidation>
  </dataValidation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R523"/>
  <sheetViews>
    <sheetView showGridLines="0" zoomScaleNormal="100" workbookViewId="0">
      <selection activeCell="I6" sqref="I6"/>
    </sheetView>
  </sheetViews>
  <sheetFormatPr defaultRowHeight="15"/>
  <cols>
    <col min="1" max="1" width="46.28515625" customWidth="1"/>
    <col min="2" max="2" width="11.7109375" customWidth="1"/>
    <col min="3" max="3" width="9.140625" bestFit="1" customWidth="1"/>
    <col min="4" max="6" width="8.7109375" customWidth="1"/>
    <col min="7" max="9" width="8.7109375" style="8" bestFit="1" customWidth="1"/>
    <col min="10" max="10" width="10.42578125" customWidth="1"/>
    <col min="11" max="11" width="30.140625" bestFit="1" customWidth="1"/>
    <col min="13" max="13" width="30.5703125" customWidth="1"/>
    <col min="14" max="14" width="55" customWidth="1"/>
    <col min="15" max="17" width="9.140625" hidden="1" customWidth="1"/>
    <col min="18" max="18" width="9.5703125" hidden="1" customWidth="1"/>
  </cols>
  <sheetData>
    <row r="1" spans="1:17">
      <c r="G1"/>
      <c r="H1"/>
      <c r="I1"/>
    </row>
    <row r="2" spans="1:17">
      <c r="G2"/>
      <c r="H2"/>
      <c r="I2"/>
    </row>
    <row r="3" spans="1:17">
      <c r="G3"/>
      <c r="H3"/>
      <c r="I3"/>
    </row>
    <row r="4" spans="1:17">
      <c r="G4"/>
      <c r="H4"/>
      <c r="I4"/>
    </row>
    <row r="5" spans="1:17">
      <c r="G5"/>
      <c r="H5"/>
      <c r="I5"/>
    </row>
    <row r="6" spans="1:17">
      <c r="G6"/>
      <c r="H6"/>
      <c r="I6"/>
    </row>
    <row r="7" spans="1:17" ht="15.75" thickBot="1">
      <c r="G7"/>
      <c r="H7"/>
      <c r="I7"/>
    </row>
    <row r="8" spans="1:17" ht="15.75" thickBot="1">
      <c r="A8" s="597" t="s">
        <v>482</v>
      </c>
      <c r="B8" s="598"/>
      <c r="C8" s="598"/>
      <c r="D8" s="598"/>
      <c r="E8" s="598"/>
      <c r="F8" s="598"/>
      <c r="G8" s="598"/>
      <c r="H8" s="598"/>
      <c r="I8" s="598"/>
      <c r="J8" s="599"/>
    </row>
    <row r="9" spans="1:17" ht="20.25" customHeight="1">
      <c r="A9" s="577" t="s">
        <v>1626</v>
      </c>
      <c r="B9" s="578"/>
      <c r="C9" s="579"/>
      <c r="D9" s="579"/>
      <c r="E9" s="580"/>
      <c r="F9" s="581"/>
      <c r="G9" s="581"/>
      <c r="H9" s="581"/>
      <c r="I9" s="581"/>
      <c r="J9" s="940"/>
    </row>
    <row r="10" spans="1:17" ht="30">
      <c r="A10" s="582"/>
      <c r="B10" s="753"/>
      <c r="C10" s="754" t="s">
        <v>414</v>
      </c>
      <c r="D10" s="755" t="s">
        <v>415</v>
      </c>
      <c r="E10" s="755"/>
      <c r="F10" s="756" t="s">
        <v>481</v>
      </c>
      <c r="G10" s="757"/>
      <c r="H10" s="758" t="s">
        <v>356</v>
      </c>
      <c r="I10" s="759" t="s">
        <v>418</v>
      </c>
      <c r="J10" s="945" t="s">
        <v>0</v>
      </c>
    </row>
    <row r="11" spans="1:17">
      <c r="A11" s="583"/>
      <c r="B11" s="760" t="s">
        <v>170</v>
      </c>
      <c r="C11" s="586">
        <f>SUM(D19:D237)</f>
        <v>0</v>
      </c>
      <c r="D11" s="586">
        <f>SUM(G19:G237)</f>
        <v>0</v>
      </c>
      <c r="E11" s="588"/>
      <c r="F11" s="588">
        <f>C11-D11</f>
        <v>0</v>
      </c>
      <c r="G11" s="589"/>
      <c r="H11" s="590" t="str">
        <f>IF(D11=0,"no data",ROUNDUP(D11/C11,2)&amp;":1")</f>
        <v>no data</v>
      </c>
      <c r="I11" s="590" t="str">
        <f>IF(F11=0,"no data",F11/'Initial data collection sheet'!$B$32)</f>
        <v>no data</v>
      </c>
      <c r="J11" s="935" t="str">
        <f>IF(Q11="n/a","N/A",IF(Q11&gt;=110,1,IF(AND(Q11&gt;=90,Q11&lt;110),2,IF(AND(Q11&gt;=70,Q11&lt;90),3,IF(AND(Q11&gt;=50,Q11&lt;70),4,IF(AND(Q11&gt;=0,Q11&lt;50),5))))))</f>
        <v>N/A</v>
      </c>
      <c r="P11" t="s">
        <v>170</v>
      </c>
      <c r="Q11" t="str">
        <f>IFERROR(ABS(I11),"n/a")</f>
        <v>n/a</v>
      </c>
    </row>
    <row r="12" spans="1:17">
      <c r="A12" s="583"/>
      <c r="B12" s="760" t="s">
        <v>171</v>
      </c>
      <c r="C12" s="586">
        <f>SUM(E19:E237)</f>
        <v>0</v>
      </c>
      <c r="D12" s="586">
        <f>SUM(H19:H237)</f>
        <v>0</v>
      </c>
      <c r="E12" s="588"/>
      <c r="F12" s="588">
        <f>C12-D12</f>
        <v>0</v>
      </c>
      <c r="G12" s="589"/>
      <c r="H12" s="590" t="str">
        <f>IF(D12=0,"no data",ROUNDUP(D12/C12,2)&amp;":1")</f>
        <v>no data</v>
      </c>
      <c r="I12" s="590" t="str">
        <f>IF(F12=0,"no data",F12/'Initial data collection sheet'!$B$32)</f>
        <v>no data</v>
      </c>
      <c r="J12" s="935" t="str">
        <f>IF(Q12="n/a","N/A",IF(Q12&gt;=10,1,IF(AND(Q12&gt;=5,Q12&lt;=10),3,IF(Q12&lt;=5,5))))</f>
        <v>N/A</v>
      </c>
      <c r="P12" t="s">
        <v>171</v>
      </c>
      <c r="Q12" t="str">
        <f>IFERROR(ABS(I12),"n/a")</f>
        <v>n/a</v>
      </c>
    </row>
    <row r="13" spans="1:17" ht="15.75" thickBot="1">
      <c r="A13" s="632"/>
      <c r="B13" s="761" t="s">
        <v>172</v>
      </c>
      <c r="C13" s="587">
        <f>SUM(F19:F237)</f>
        <v>0</v>
      </c>
      <c r="D13" s="587">
        <f>SUM(I19:I237)</f>
        <v>0</v>
      </c>
      <c r="E13" s="591"/>
      <c r="F13" s="591">
        <f>C13-D13</f>
        <v>0</v>
      </c>
      <c r="G13" s="592"/>
      <c r="H13" s="593" t="str">
        <f>IF(D13=0,"no data",ROUNDUP(D13/C13,2)&amp;":1")</f>
        <v>no data</v>
      </c>
      <c r="I13" s="593" t="str">
        <f>IF(F13=0,"no data",F13/'Initial data collection sheet'!$B$32)</f>
        <v>no data</v>
      </c>
      <c r="J13" s="941" t="str">
        <f>IF(Q13="n/a","N/A",IF(Q13&gt;=10,1,IF(AND(Q13&gt;=5,Q13&lt;=10),3,IF(Q13&lt;=5,5))))</f>
        <v>N/A</v>
      </c>
      <c r="P13" t="s">
        <v>172</v>
      </c>
      <c r="Q13" t="str">
        <f>IFERROR(ABS(I13),"n/a")</f>
        <v>n/a</v>
      </c>
    </row>
    <row r="14" spans="1:17" ht="15.75" thickBot="1">
      <c r="A14" s="56"/>
      <c r="B14" s="56"/>
      <c r="C14" s="56"/>
      <c r="D14" s="56"/>
      <c r="E14" s="56"/>
      <c r="F14" s="56"/>
      <c r="G14" s="56"/>
      <c r="H14" s="1067" t="s">
        <v>1673</v>
      </c>
      <c r="I14" s="1068"/>
      <c r="J14" s="869" t="str">
        <f>IFERROR(AVERAGE(J11:J13),"N/A")</f>
        <v>N/A</v>
      </c>
    </row>
    <row r="15" spans="1:17" ht="15.75" thickBot="1">
      <c r="A15" s="56"/>
      <c r="B15" s="56"/>
      <c r="C15" s="56"/>
      <c r="D15" s="56"/>
      <c r="E15" s="56"/>
      <c r="F15" s="56"/>
      <c r="G15" s="56"/>
      <c r="H15" s="594"/>
      <c r="I15" s="594"/>
      <c r="J15" s="57"/>
    </row>
    <row r="16" spans="1:17" ht="15.75" thickBot="1">
      <c r="A16" s="373" t="s">
        <v>1683</v>
      </c>
      <c r="B16" s="495"/>
      <c r="C16" s="495"/>
      <c r="D16" s="1061" t="s">
        <v>414</v>
      </c>
      <c r="E16" s="1061"/>
      <c r="F16" s="1061"/>
      <c r="G16" s="1061" t="s">
        <v>415</v>
      </c>
      <c r="H16" s="1061"/>
      <c r="I16" s="1069"/>
      <c r="J16" s="762"/>
    </row>
    <row r="17" spans="1:10" ht="25.5">
      <c r="A17" s="577"/>
      <c r="B17" s="601" t="s">
        <v>1674</v>
      </c>
      <c r="C17" s="601" t="s">
        <v>1675</v>
      </c>
      <c r="D17" s="585" t="s">
        <v>413</v>
      </c>
      <c r="E17" s="585" t="s">
        <v>171</v>
      </c>
      <c r="F17" s="585" t="s">
        <v>172</v>
      </c>
      <c r="G17" s="602" t="s">
        <v>413</v>
      </c>
      <c r="H17" s="602" t="s">
        <v>171</v>
      </c>
      <c r="I17" s="763" t="s">
        <v>172</v>
      </c>
      <c r="J17" s="315"/>
    </row>
    <row r="18" spans="1:10" ht="14.45" customHeight="1">
      <c r="A18" s="603" t="s">
        <v>417</v>
      </c>
      <c r="B18" s="604"/>
      <c r="C18" s="604"/>
      <c r="D18" s="488"/>
      <c r="E18" s="488"/>
      <c r="F18" s="488"/>
      <c r="G18" s="605"/>
      <c r="H18" s="605"/>
      <c r="I18" s="764"/>
      <c r="J18" s="315"/>
    </row>
    <row r="19" spans="1:10" ht="14.45" customHeight="1">
      <c r="A19" s="606" t="str">
        <f>'Initial data collection sheet'!A35</f>
        <v>Wheat - feed</v>
      </c>
      <c r="B19" s="604">
        <f>'Initial data collection sheet'!H35</f>
        <v>0</v>
      </c>
      <c r="C19" s="604">
        <f>'Initial data collection sheet'!I35</f>
        <v>0</v>
      </c>
      <c r="D19" s="607">
        <f>'Initial data collection sheet'!H35*'Initial data collection sheet'!N35</f>
        <v>0</v>
      </c>
      <c r="E19" s="607">
        <f>'Initial data collection sheet'!H35*'Initial data collection sheet'!O35</f>
        <v>0</v>
      </c>
      <c r="F19" s="607">
        <f>'Initial data collection sheet'!H35*'Initial data collection sheet'!P35</f>
        <v>0</v>
      </c>
      <c r="G19" s="608">
        <f>'Initial data collection sheet'!I35*'Initial data collection sheet'!N35</f>
        <v>0</v>
      </c>
      <c r="H19" s="608">
        <f>'Initial data collection sheet'!I35*'Initial data collection sheet'!O35</f>
        <v>0</v>
      </c>
      <c r="I19" s="765">
        <f>'Initial data collection sheet'!I35*'Initial data collection sheet'!P35</f>
        <v>0</v>
      </c>
      <c r="J19" s="315"/>
    </row>
    <row r="20" spans="1:10" ht="14.45" customHeight="1">
      <c r="A20" s="606" t="str">
        <f>'Initial data collection sheet'!A36</f>
        <v>Wheat - milling</v>
      </c>
      <c r="B20" s="604">
        <f>'Initial data collection sheet'!H36</f>
        <v>0</v>
      </c>
      <c r="C20" s="604">
        <f>'Initial data collection sheet'!I36</f>
        <v>0</v>
      </c>
      <c r="D20" s="607">
        <f>'Initial data collection sheet'!H36*'Initial data collection sheet'!N36</f>
        <v>0</v>
      </c>
      <c r="E20" s="607">
        <f>'Initial data collection sheet'!H36*'Initial data collection sheet'!O36</f>
        <v>0</v>
      </c>
      <c r="F20" s="607">
        <f>'Initial data collection sheet'!H36*'Initial data collection sheet'!P36</f>
        <v>0</v>
      </c>
      <c r="G20" s="608">
        <f>'Initial data collection sheet'!I36*'Initial data collection sheet'!N36</f>
        <v>0</v>
      </c>
      <c r="H20" s="608">
        <f>'Initial data collection sheet'!I36*'Initial data collection sheet'!O36</f>
        <v>0</v>
      </c>
      <c r="I20" s="765">
        <f>'Initial data collection sheet'!I36*'Initial data collection sheet'!P36</f>
        <v>0</v>
      </c>
      <c r="J20" s="315"/>
    </row>
    <row r="21" spans="1:10" ht="14.45" customHeight="1">
      <c r="A21" s="606" t="str">
        <f>'Initial data collection sheet'!A37</f>
        <v>Barley</v>
      </c>
      <c r="B21" s="604">
        <f>'Initial data collection sheet'!H37</f>
        <v>0</v>
      </c>
      <c r="C21" s="604">
        <f>'Initial data collection sheet'!I37</f>
        <v>0</v>
      </c>
      <c r="D21" s="607">
        <f>'Initial data collection sheet'!H37*'Initial data collection sheet'!N37</f>
        <v>0</v>
      </c>
      <c r="E21" s="607">
        <f>'Initial data collection sheet'!H37*'Initial data collection sheet'!O37</f>
        <v>0</v>
      </c>
      <c r="F21" s="607">
        <f>'Initial data collection sheet'!H37*'Initial data collection sheet'!P37</f>
        <v>0</v>
      </c>
      <c r="G21" s="608">
        <f>'Initial data collection sheet'!I37*'Initial data collection sheet'!N37</f>
        <v>0</v>
      </c>
      <c r="H21" s="608">
        <f>'Initial data collection sheet'!I37*'Initial data collection sheet'!O37</f>
        <v>0</v>
      </c>
      <c r="I21" s="765">
        <f>'Initial data collection sheet'!I37*'Initial data collection sheet'!P37</f>
        <v>0</v>
      </c>
      <c r="J21" s="315"/>
    </row>
    <row r="22" spans="1:10" ht="14.45" customHeight="1">
      <c r="A22" s="606" t="str">
        <f>'Initial data collection sheet'!A38</f>
        <v>Oats</v>
      </c>
      <c r="B22" s="604">
        <f>'Initial data collection sheet'!H38</f>
        <v>0</v>
      </c>
      <c r="C22" s="604">
        <f>'Initial data collection sheet'!I38</f>
        <v>0</v>
      </c>
      <c r="D22" s="607">
        <f>'Initial data collection sheet'!H38*'Initial data collection sheet'!N38</f>
        <v>0</v>
      </c>
      <c r="E22" s="607">
        <f>'Initial data collection sheet'!H38*'Initial data collection sheet'!O38</f>
        <v>0</v>
      </c>
      <c r="F22" s="607">
        <f>'Initial data collection sheet'!H38*'Initial data collection sheet'!P38</f>
        <v>0</v>
      </c>
      <c r="G22" s="608">
        <f>'Initial data collection sheet'!I38*'Initial data collection sheet'!N38</f>
        <v>0</v>
      </c>
      <c r="H22" s="608">
        <f>'Initial data collection sheet'!I38*'Initial data collection sheet'!O38</f>
        <v>0</v>
      </c>
      <c r="I22" s="765">
        <f>'Initial data collection sheet'!I38*'Initial data collection sheet'!P38</f>
        <v>0</v>
      </c>
      <c r="J22" s="315"/>
    </row>
    <row r="23" spans="1:10" ht="14.45" customHeight="1">
      <c r="A23" s="606" t="str">
        <f>'Initial data collection sheet'!A39</f>
        <v>Triticale</v>
      </c>
      <c r="B23" s="604">
        <f>'Initial data collection sheet'!H39</f>
        <v>0</v>
      </c>
      <c r="C23" s="604">
        <f>'Initial data collection sheet'!I39</f>
        <v>0</v>
      </c>
      <c r="D23" s="607">
        <f>'Initial data collection sheet'!H39*'Initial data collection sheet'!N39</f>
        <v>0</v>
      </c>
      <c r="E23" s="607">
        <f>'Initial data collection sheet'!H39*'Initial data collection sheet'!O39</f>
        <v>0</v>
      </c>
      <c r="F23" s="607">
        <f>'Initial data collection sheet'!H39*'Initial data collection sheet'!P39</f>
        <v>0</v>
      </c>
      <c r="G23" s="608">
        <f>'Initial data collection sheet'!I39*'Initial data collection sheet'!N39</f>
        <v>0</v>
      </c>
      <c r="H23" s="608">
        <f>'Initial data collection sheet'!I39*'Initial data collection sheet'!O39</f>
        <v>0</v>
      </c>
      <c r="I23" s="765">
        <f>'Initial data collection sheet'!I39*'Initial data collection sheet'!P39</f>
        <v>0</v>
      </c>
      <c r="J23" s="315"/>
    </row>
    <row r="24" spans="1:10" ht="14.45" customHeight="1">
      <c r="A24" s="606" t="str">
        <f>'Initial data collection sheet'!A40</f>
        <v>Rye</v>
      </c>
      <c r="B24" s="604">
        <f>'Initial data collection sheet'!H40</f>
        <v>0</v>
      </c>
      <c r="C24" s="604">
        <f>'Initial data collection sheet'!I40</f>
        <v>0</v>
      </c>
      <c r="D24" s="607">
        <f>'Initial data collection sheet'!H40*'Initial data collection sheet'!N40</f>
        <v>0</v>
      </c>
      <c r="E24" s="607">
        <f>'Initial data collection sheet'!H40*'Initial data collection sheet'!O40</f>
        <v>0</v>
      </c>
      <c r="F24" s="607">
        <f>'Initial data collection sheet'!H40*'Initial data collection sheet'!P40</f>
        <v>0</v>
      </c>
      <c r="G24" s="608">
        <f>'Initial data collection sheet'!I40*'Initial data collection sheet'!N40</f>
        <v>0</v>
      </c>
      <c r="H24" s="608">
        <f>'Initial data collection sheet'!I40*'Initial data collection sheet'!O40</f>
        <v>0</v>
      </c>
      <c r="I24" s="765">
        <f>'Initial data collection sheet'!I40*'Initial data collection sheet'!P40</f>
        <v>0</v>
      </c>
      <c r="J24" s="315"/>
    </row>
    <row r="25" spans="1:10" ht="14.45" customHeight="1">
      <c r="A25" s="606" t="str">
        <f>'Initial data collection sheet'!A41</f>
        <v>Mixed cereals/grain</v>
      </c>
      <c r="B25" s="604">
        <f>'Initial data collection sheet'!H41</f>
        <v>0</v>
      </c>
      <c r="C25" s="604">
        <f>'Initial data collection sheet'!I41</f>
        <v>0</v>
      </c>
      <c r="D25" s="607">
        <f>'Initial data collection sheet'!H41*'Initial data collection sheet'!N41</f>
        <v>0</v>
      </c>
      <c r="E25" s="607">
        <f>'Initial data collection sheet'!H41*'Initial data collection sheet'!O41</f>
        <v>0</v>
      </c>
      <c r="F25" s="607">
        <f>'Initial data collection sheet'!H41*'Initial data collection sheet'!P41</f>
        <v>0</v>
      </c>
      <c r="G25" s="608">
        <f>'Initial data collection sheet'!I41*'Initial data collection sheet'!N41</f>
        <v>0</v>
      </c>
      <c r="H25" s="608">
        <f>'Initial data collection sheet'!I41*'Initial data collection sheet'!O41</f>
        <v>0</v>
      </c>
      <c r="I25" s="765">
        <f>'Initial data collection sheet'!I41*'Initial data collection sheet'!P41</f>
        <v>0</v>
      </c>
      <c r="J25" s="315"/>
    </row>
    <row r="26" spans="1:10" ht="14.45" customHeight="1">
      <c r="A26" s="606" t="str">
        <f>'Initial data collection sheet'!A42</f>
        <v>Peas - dry</v>
      </c>
      <c r="B26" s="604">
        <f>'Initial data collection sheet'!H42</f>
        <v>0</v>
      </c>
      <c r="C26" s="604">
        <f>'Initial data collection sheet'!I42</f>
        <v>0</v>
      </c>
      <c r="D26" s="607">
        <f>'Initial data collection sheet'!H42*'Initial data collection sheet'!N42</f>
        <v>0</v>
      </c>
      <c r="E26" s="607">
        <f>'Initial data collection sheet'!H42*'Initial data collection sheet'!O42</f>
        <v>0</v>
      </c>
      <c r="F26" s="607">
        <f>'Initial data collection sheet'!H42*'Initial data collection sheet'!P42</f>
        <v>0</v>
      </c>
      <c r="G26" s="608">
        <f>'Initial data collection sheet'!I42*'Initial data collection sheet'!N42</f>
        <v>0</v>
      </c>
      <c r="H26" s="608">
        <f>'Initial data collection sheet'!I42*'Initial data collection sheet'!O42</f>
        <v>0</v>
      </c>
      <c r="I26" s="765">
        <f>'Initial data collection sheet'!I42*'Initial data collection sheet'!P42</f>
        <v>0</v>
      </c>
      <c r="J26" s="315"/>
    </row>
    <row r="27" spans="1:10">
      <c r="A27" s="606" t="str">
        <f>'Initial data collection sheet'!A43</f>
        <v>Field beans</v>
      </c>
      <c r="B27" s="604">
        <f>'Initial data collection sheet'!H43</f>
        <v>0</v>
      </c>
      <c r="C27" s="604">
        <f>'Initial data collection sheet'!I43</f>
        <v>0</v>
      </c>
      <c r="D27" s="607">
        <f>'Initial data collection sheet'!H43*'Initial data collection sheet'!N43</f>
        <v>0</v>
      </c>
      <c r="E27" s="607">
        <f>'Initial data collection sheet'!H43*'Initial data collection sheet'!O43</f>
        <v>0</v>
      </c>
      <c r="F27" s="607">
        <f>'Initial data collection sheet'!H43*'Initial data collection sheet'!P43</f>
        <v>0</v>
      </c>
      <c r="G27" s="608">
        <f>'Initial data collection sheet'!I43*'Initial data collection sheet'!N43</f>
        <v>0</v>
      </c>
      <c r="H27" s="608">
        <f>'Initial data collection sheet'!I43*'Initial data collection sheet'!O43</f>
        <v>0</v>
      </c>
      <c r="I27" s="765">
        <f>'Initial data collection sheet'!I43*'Initial data collection sheet'!P43</f>
        <v>0</v>
      </c>
      <c r="J27" s="315"/>
    </row>
    <row r="28" spans="1:10">
      <c r="A28" s="606" t="str">
        <f>'Initial data collection sheet'!A44</f>
        <v>Fodder beet</v>
      </c>
      <c r="B28" s="604">
        <f>'Initial data collection sheet'!H44</f>
        <v>0</v>
      </c>
      <c r="C28" s="604">
        <f>'Initial data collection sheet'!I44</f>
        <v>0</v>
      </c>
      <c r="D28" s="607">
        <f>'Initial data collection sheet'!H44*'Initial data collection sheet'!N44</f>
        <v>0</v>
      </c>
      <c r="E28" s="607">
        <f>'Initial data collection sheet'!H44*'Initial data collection sheet'!O44</f>
        <v>0</v>
      </c>
      <c r="F28" s="607">
        <f>'Initial data collection sheet'!H44*'Initial data collection sheet'!P44</f>
        <v>0</v>
      </c>
      <c r="G28" s="608">
        <f>'Initial data collection sheet'!I44*'Initial data collection sheet'!N44</f>
        <v>0</v>
      </c>
      <c r="H28" s="608">
        <f>'Initial data collection sheet'!I44*'Initial data collection sheet'!O44</f>
        <v>0</v>
      </c>
      <c r="I28" s="765">
        <f>'Initial data collection sheet'!I44*'Initial data collection sheet'!P44</f>
        <v>0</v>
      </c>
      <c r="J28" s="315"/>
    </row>
    <row r="29" spans="1:10">
      <c r="A29" s="606" t="str">
        <f>'Initial data collection sheet'!A45</f>
        <v>Sugar beet</v>
      </c>
      <c r="B29" s="604">
        <f>'Initial data collection sheet'!H45</f>
        <v>0</v>
      </c>
      <c r="C29" s="604">
        <f>'Initial data collection sheet'!I45</f>
        <v>0</v>
      </c>
      <c r="D29" s="607">
        <f>'Initial data collection sheet'!H45*'Initial data collection sheet'!N45</f>
        <v>0</v>
      </c>
      <c r="E29" s="607">
        <f>'Initial data collection sheet'!H45*'Initial data collection sheet'!O45</f>
        <v>0</v>
      </c>
      <c r="F29" s="607">
        <f>'Initial data collection sheet'!H45*'Initial data collection sheet'!P45</f>
        <v>0</v>
      </c>
      <c r="G29" s="608">
        <f>'Initial data collection sheet'!I45*'Initial data collection sheet'!N45</f>
        <v>0</v>
      </c>
      <c r="H29" s="608">
        <f>'Initial data collection sheet'!I45*'Initial data collection sheet'!O45</f>
        <v>0</v>
      </c>
      <c r="I29" s="765">
        <f>'Initial data collection sheet'!I45*'Initial data collection sheet'!P45</f>
        <v>0</v>
      </c>
      <c r="J29" s="315"/>
    </row>
    <row r="30" spans="1:10">
      <c r="A30" s="606" t="str">
        <f>'Initial data collection sheet'!A46</f>
        <v>Potatoes</v>
      </c>
      <c r="B30" s="604">
        <f>'Initial data collection sheet'!H46</f>
        <v>0</v>
      </c>
      <c r="C30" s="604">
        <f>'Initial data collection sheet'!I46</f>
        <v>0</v>
      </c>
      <c r="D30" s="607">
        <f>'Initial data collection sheet'!H46*'Initial data collection sheet'!N46</f>
        <v>0</v>
      </c>
      <c r="E30" s="607">
        <f>'Initial data collection sheet'!H46*'Initial data collection sheet'!O46</f>
        <v>0</v>
      </c>
      <c r="F30" s="607">
        <f>'Initial data collection sheet'!H46*'Initial data collection sheet'!P46</f>
        <v>0</v>
      </c>
      <c r="G30" s="608">
        <f>'Initial data collection sheet'!I46*'Initial data collection sheet'!N46</f>
        <v>0</v>
      </c>
      <c r="H30" s="608">
        <f>'Initial data collection sheet'!I46*'Initial data collection sheet'!O46</f>
        <v>0</v>
      </c>
      <c r="I30" s="765">
        <f>'Initial data collection sheet'!I46*'Initial data collection sheet'!P46</f>
        <v>0</v>
      </c>
      <c r="J30" s="315"/>
    </row>
    <row r="31" spans="1:10">
      <c r="A31" s="606" t="str">
        <f>'Initial data collection sheet'!A47</f>
        <v>Oilseed rape</v>
      </c>
      <c r="B31" s="604">
        <f>'Initial data collection sheet'!H47</f>
        <v>0</v>
      </c>
      <c r="C31" s="604">
        <f>'Initial data collection sheet'!I47</f>
        <v>0</v>
      </c>
      <c r="D31" s="607">
        <f>'Initial data collection sheet'!H47*'Initial data collection sheet'!N47</f>
        <v>0</v>
      </c>
      <c r="E31" s="607">
        <f>'Initial data collection sheet'!H47*'Initial data collection sheet'!O47</f>
        <v>0</v>
      </c>
      <c r="F31" s="607">
        <f>'Initial data collection sheet'!H47*'Initial data collection sheet'!P47</f>
        <v>0</v>
      </c>
      <c r="G31" s="608">
        <f>'Initial data collection sheet'!I47*'Initial data collection sheet'!N47</f>
        <v>0</v>
      </c>
      <c r="H31" s="608">
        <f>'Initial data collection sheet'!I47*'Initial data collection sheet'!O47</f>
        <v>0</v>
      </c>
      <c r="I31" s="765">
        <f>'Initial data collection sheet'!I47*'Initial data collection sheet'!P47</f>
        <v>0</v>
      </c>
      <c r="J31" s="315"/>
    </row>
    <row r="32" spans="1:10">
      <c r="A32" s="606" t="str">
        <f>'Initial data collection sheet'!A48</f>
        <v>Maize (grain)</v>
      </c>
      <c r="B32" s="604">
        <f>'Initial data collection sheet'!H48</f>
        <v>0</v>
      </c>
      <c r="C32" s="604">
        <f>'Initial data collection sheet'!I48</f>
        <v>0</v>
      </c>
      <c r="D32" s="607">
        <f>'Initial data collection sheet'!H48*'Initial data collection sheet'!N48</f>
        <v>0</v>
      </c>
      <c r="E32" s="607">
        <f>'Initial data collection sheet'!H48*'Initial data collection sheet'!O48</f>
        <v>0</v>
      </c>
      <c r="F32" s="607">
        <f>'Initial data collection sheet'!H48*'Initial data collection sheet'!P48</f>
        <v>0</v>
      </c>
      <c r="G32" s="608">
        <f>'Initial data collection sheet'!I48*'Initial data collection sheet'!N48</f>
        <v>0</v>
      </c>
      <c r="H32" s="608">
        <f>'Initial data collection sheet'!I48*'Initial data collection sheet'!O48</f>
        <v>0</v>
      </c>
      <c r="I32" s="765">
        <f>'Initial data collection sheet'!I48*'Initial data collection sheet'!P48</f>
        <v>0</v>
      </c>
      <c r="J32" s="315"/>
    </row>
    <row r="33" spans="1:10">
      <c r="A33" s="606" t="str">
        <f>'Initial data collection sheet'!A49</f>
        <v>Linseed</v>
      </c>
      <c r="B33" s="604">
        <f>'Initial data collection sheet'!H49</f>
        <v>0</v>
      </c>
      <c r="C33" s="604">
        <f>'Initial data collection sheet'!I49</f>
        <v>0</v>
      </c>
      <c r="D33" s="607">
        <f>'Initial data collection sheet'!H49*'Initial data collection sheet'!N49</f>
        <v>0</v>
      </c>
      <c r="E33" s="607">
        <f>'Initial data collection sheet'!H49*'Initial data collection sheet'!O49</f>
        <v>0</v>
      </c>
      <c r="F33" s="607">
        <f>'Initial data collection sheet'!H49*'Initial data collection sheet'!P49</f>
        <v>0</v>
      </c>
      <c r="G33" s="608">
        <f>'Initial data collection sheet'!I49*'Initial data collection sheet'!N49</f>
        <v>0</v>
      </c>
      <c r="H33" s="608">
        <f>'Initial data collection sheet'!I49*'Initial data collection sheet'!O49</f>
        <v>0</v>
      </c>
      <c r="I33" s="765">
        <f>'Initial data collection sheet'!I49*'Initial data collection sheet'!P49</f>
        <v>0</v>
      </c>
      <c r="J33" s="315"/>
    </row>
    <row r="34" spans="1:10">
      <c r="A34" s="606" t="str">
        <f>'Initial data collection sheet'!A50</f>
        <v>Sunflowers</v>
      </c>
      <c r="B34" s="604">
        <f>'Initial data collection sheet'!H50</f>
        <v>0</v>
      </c>
      <c r="C34" s="604">
        <f>'Initial data collection sheet'!I50</f>
        <v>0</v>
      </c>
      <c r="D34" s="607">
        <f>'Initial data collection sheet'!H50*'Initial data collection sheet'!N50</f>
        <v>0</v>
      </c>
      <c r="E34" s="607">
        <f>'Initial data collection sheet'!H50*'Initial data collection sheet'!O50</f>
        <v>0</v>
      </c>
      <c r="F34" s="607">
        <f>'Initial data collection sheet'!H50*'Initial data collection sheet'!P50</f>
        <v>0</v>
      </c>
      <c r="G34" s="608">
        <f>'Initial data collection sheet'!I50*'Initial data collection sheet'!N50</f>
        <v>0</v>
      </c>
      <c r="H34" s="608">
        <f>'Initial data collection sheet'!I50*'Initial data collection sheet'!O50</f>
        <v>0</v>
      </c>
      <c r="I34" s="765">
        <f>'Initial data collection sheet'!I50*'Initial data collection sheet'!P50</f>
        <v>0</v>
      </c>
      <c r="J34" s="315"/>
    </row>
    <row r="35" spans="1:10">
      <c r="A35" s="603" t="str">
        <f>'Initial data collection sheet'!A51</f>
        <v>Vegetables / horticulture</v>
      </c>
      <c r="B35" s="604"/>
      <c r="C35" s="604"/>
      <c r="D35" s="607"/>
      <c r="E35" s="607"/>
      <c r="F35" s="607"/>
      <c r="G35" s="608"/>
      <c r="H35" s="608"/>
      <c r="I35" s="765"/>
      <c r="J35" s="315"/>
    </row>
    <row r="36" spans="1:10">
      <c r="A36" s="606" t="str">
        <f>'Initial data collection sheet'!A52</f>
        <v>Beetroot</v>
      </c>
      <c r="B36" s="604">
        <f>'Initial data collection sheet'!H52</f>
        <v>0</v>
      </c>
      <c r="C36" s="604">
        <f>'Initial data collection sheet'!I52</f>
        <v>0</v>
      </c>
      <c r="D36" s="607">
        <f>'Initial data collection sheet'!H52*'Initial data collection sheet'!N52</f>
        <v>0</v>
      </c>
      <c r="E36" s="607">
        <f>'Initial data collection sheet'!H52*'Initial data collection sheet'!O52</f>
        <v>0</v>
      </c>
      <c r="F36" s="607">
        <f>'Initial data collection sheet'!H52*'Initial data collection sheet'!P52</f>
        <v>0</v>
      </c>
      <c r="G36" s="608">
        <f>'Initial data collection sheet'!I52*'Initial data collection sheet'!N52</f>
        <v>0</v>
      </c>
      <c r="H36" s="608">
        <f>'Initial data collection sheet'!I52*'Initial data collection sheet'!O52</f>
        <v>0</v>
      </c>
      <c r="I36" s="765">
        <f>'Initial data collection sheet'!I52*'Initial data collection sheet'!P52</f>
        <v>0</v>
      </c>
      <c r="J36" s="315"/>
    </row>
    <row r="37" spans="1:10">
      <c r="A37" s="606" t="str">
        <f>'Initial data collection sheet'!A53</f>
        <v>Table swedes</v>
      </c>
      <c r="B37" s="604">
        <f>'Initial data collection sheet'!H53</f>
        <v>0</v>
      </c>
      <c r="C37" s="604">
        <f>'Initial data collection sheet'!I53</f>
        <v>0</v>
      </c>
      <c r="D37" s="607">
        <f>'Initial data collection sheet'!H53*'Initial data collection sheet'!N53</f>
        <v>0</v>
      </c>
      <c r="E37" s="607">
        <f>'Initial data collection sheet'!H53*'Initial data collection sheet'!O53</f>
        <v>0</v>
      </c>
      <c r="F37" s="607">
        <f>'Initial data collection sheet'!H53*'Initial data collection sheet'!P53</f>
        <v>0</v>
      </c>
      <c r="G37" s="608">
        <f>'Initial data collection sheet'!I53*'Initial data collection sheet'!N53</f>
        <v>0</v>
      </c>
      <c r="H37" s="608">
        <f>'Initial data collection sheet'!I53*'Initial data collection sheet'!O53</f>
        <v>0</v>
      </c>
      <c r="I37" s="765">
        <f>'Initial data collection sheet'!I53*'Initial data collection sheet'!P53</f>
        <v>0</v>
      </c>
      <c r="J37" s="315"/>
    </row>
    <row r="38" spans="1:10">
      <c r="A38" s="606" t="str">
        <f>'Initial data collection sheet'!A54</f>
        <v xml:space="preserve">Cauliflower </v>
      </c>
      <c r="B38" s="604">
        <f>'Initial data collection sheet'!H54</f>
        <v>0</v>
      </c>
      <c r="C38" s="604">
        <f>'Initial data collection sheet'!I54</f>
        <v>0</v>
      </c>
      <c r="D38" s="607">
        <f>'Initial data collection sheet'!H54*'Initial data collection sheet'!N54</f>
        <v>0</v>
      </c>
      <c r="E38" s="607">
        <f>'Initial data collection sheet'!H54*'Initial data collection sheet'!O54</f>
        <v>0</v>
      </c>
      <c r="F38" s="607">
        <f>'Initial data collection sheet'!H54*'Initial data collection sheet'!P54</f>
        <v>0</v>
      </c>
      <c r="G38" s="608">
        <f>'Initial data collection sheet'!I54*'Initial data collection sheet'!N54</f>
        <v>0</v>
      </c>
      <c r="H38" s="608">
        <f>'Initial data collection sheet'!I54*'Initial data collection sheet'!O54</f>
        <v>0</v>
      </c>
      <c r="I38" s="765">
        <f>'Initial data collection sheet'!I54*'Initial data collection sheet'!P54</f>
        <v>0</v>
      </c>
      <c r="J38" s="315"/>
    </row>
    <row r="39" spans="1:10">
      <c r="A39" s="606" t="str">
        <f>'Initial data collection sheet'!A55</f>
        <v>Calabrese</v>
      </c>
      <c r="B39" s="604">
        <f>'Initial data collection sheet'!H55</f>
        <v>0</v>
      </c>
      <c r="C39" s="604">
        <f>'Initial data collection sheet'!I55</f>
        <v>0</v>
      </c>
      <c r="D39" s="607">
        <f>'Initial data collection sheet'!H55*'Initial data collection sheet'!N55</f>
        <v>0</v>
      </c>
      <c r="E39" s="607">
        <f>'Initial data collection sheet'!H55*'Initial data collection sheet'!O55</f>
        <v>0</v>
      </c>
      <c r="F39" s="607">
        <f>'Initial data collection sheet'!H55*'Initial data collection sheet'!P55</f>
        <v>0</v>
      </c>
      <c r="G39" s="608">
        <f>'Initial data collection sheet'!I55*'Initial data collection sheet'!N55</f>
        <v>0</v>
      </c>
      <c r="H39" s="608">
        <f>'Initial data collection sheet'!I55*'Initial data collection sheet'!O55</f>
        <v>0</v>
      </c>
      <c r="I39" s="765">
        <f>'Initial data collection sheet'!I55*'Initial data collection sheet'!P55</f>
        <v>0</v>
      </c>
      <c r="J39" s="315"/>
    </row>
    <row r="40" spans="1:10">
      <c r="A40" s="606" t="str">
        <f>'Initial data collection sheet'!A56</f>
        <v>Lettuce</v>
      </c>
      <c r="B40" s="604">
        <f>'Initial data collection sheet'!H56</f>
        <v>0</v>
      </c>
      <c r="C40" s="604">
        <f>'Initial data collection sheet'!I56</f>
        <v>0</v>
      </c>
      <c r="D40" s="607">
        <f>'Initial data collection sheet'!H56*'Initial data collection sheet'!N56</f>
        <v>0</v>
      </c>
      <c r="E40" s="607">
        <f>'Initial data collection sheet'!H56*'Initial data collection sheet'!O56</f>
        <v>0</v>
      </c>
      <c r="F40" s="607">
        <f>'Initial data collection sheet'!H56*'Initial data collection sheet'!P56</f>
        <v>0</v>
      </c>
      <c r="G40" s="608">
        <f>'Initial data collection sheet'!I56*'Initial data collection sheet'!N56</f>
        <v>0</v>
      </c>
      <c r="H40" s="608">
        <f>'Initial data collection sheet'!I56*'Initial data collection sheet'!O56</f>
        <v>0</v>
      </c>
      <c r="I40" s="765">
        <f>'Initial data collection sheet'!I56*'Initial data collection sheet'!P56</f>
        <v>0</v>
      </c>
      <c r="J40" s="315"/>
    </row>
    <row r="41" spans="1:10">
      <c r="A41" s="606" t="str">
        <f>'Initial data collection sheet'!A57</f>
        <v>Cabbages</v>
      </c>
      <c r="B41" s="604">
        <f>'Initial data collection sheet'!H57</f>
        <v>0</v>
      </c>
      <c r="C41" s="604">
        <f>'Initial data collection sheet'!I57</f>
        <v>0</v>
      </c>
      <c r="D41" s="607">
        <f>'Initial data collection sheet'!H57*'Initial data collection sheet'!N57</f>
        <v>0</v>
      </c>
      <c r="E41" s="607">
        <f>'Initial data collection sheet'!H57*'Initial data collection sheet'!O57</f>
        <v>0</v>
      </c>
      <c r="F41" s="607">
        <f>'Initial data collection sheet'!H57*'Initial data collection sheet'!P57</f>
        <v>0</v>
      </c>
      <c r="G41" s="608">
        <f>'Initial data collection sheet'!I57*'Initial data collection sheet'!N57</f>
        <v>0</v>
      </c>
      <c r="H41" s="608">
        <f>'Initial data collection sheet'!I57*'Initial data collection sheet'!O57</f>
        <v>0</v>
      </c>
      <c r="I41" s="765">
        <f>'Initial data collection sheet'!I57*'Initial data collection sheet'!P57</f>
        <v>0</v>
      </c>
      <c r="J41" s="315"/>
    </row>
    <row r="42" spans="1:10">
      <c r="A42" s="606" t="str">
        <f>'Initial data collection sheet'!A59</f>
        <v>Parsnips</v>
      </c>
      <c r="B42" s="604">
        <f>'Initial data collection sheet'!H59</f>
        <v>0</v>
      </c>
      <c r="C42" s="604">
        <f>'Initial data collection sheet'!I59</f>
        <v>0</v>
      </c>
      <c r="D42" s="607">
        <f>'Initial data collection sheet'!H59*'Initial data collection sheet'!N59</f>
        <v>0</v>
      </c>
      <c r="E42" s="607">
        <f>'Initial data collection sheet'!H59*'Initial data collection sheet'!O59</f>
        <v>0</v>
      </c>
      <c r="F42" s="607">
        <f>'Initial data collection sheet'!H59*'Initial data collection sheet'!P59</f>
        <v>0</v>
      </c>
      <c r="G42" s="608">
        <f>'Initial data collection sheet'!I59*'Initial data collection sheet'!N59</f>
        <v>0</v>
      </c>
      <c r="H42" s="608">
        <f>'Initial data collection sheet'!I59*'Initial data collection sheet'!O59</f>
        <v>0</v>
      </c>
      <c r="I42" s="765">
        <f>'Initial data collection sheet'!I59*'Initial data collection sheet'!P59</f>
        <v>0</v>
      </c>
      <c r="J42" s="315"/>
    </row>
    <row r="43" spans="1:10">
      <c r="A43" s="606" t="str">
        <f>'Initial data collection sheet'!A58</f>
        <v>Celery</v>
      </c>
      <c r="B43" s="604">
        <f>'Initial data collection sheet'!H58</f>
        <v>0</v>
      </c>
      <c r="C43" s="604">
        <f>'Initial data collection sheet'!I58</f>
        <v>0</v>
      </c>
      <c r="D43" s="607">
        <f>'Initial data collection sheet'!H58*'Initial data collection sheet'!N58</f>
        <v>0</v>
      </c>
      <c r="E43" s="607">
        <f>'Initial data collection sheet'!H58*'Initial data collection sheet'!O58</f>
        <v>0</v>
      </c>
      <c r="F43" s="607">
        <f>'Initial data collection sheet'!H58*'Initial data collection sheet'!P58</f>
        <v>0</v>
      </c>
      <c r="G43" s="608">
        <f>'Initial data collection sheet'!I58*'Initial data collection sheet'!N58</f>
        <v>0</v>
      </c>
      <c r="H43" s="608">
        <f>'Initial data collection sheet'!I58*'Initial data collection sheet'!O58</f>
        <v>0</v>
      </c>
      <c r="I43" s="765">
        <f>'Initial data collection sheet'!I58*'Initial data collection sheet'!P58</f>
        <v>0</v>
      </c>
      <c r="J43" s="315"/>
    </row>
    <row r="44" spans="1:10">
      <c r="A44" s="606" t="str">
        <f>'Initial data collection sheet'!A60</f>
        <v>Carrots</v>
      </c>
      <c r="B44" s="604">
        <f>'Initial data collection sheet'!H60</f>
        <v>0</v>
      </c>
      <c r="C44" s="604">
        <f>'Initial data collection sheet'!I60</f>
        <v>0</v>
      </c>
      <c r="D44" s="607">
        <f>'Initial data collection sheet'!H60*'Initial data collection sheet'!N60</f>
        <v>0</v>
      </c>
      <c r="E44" s="607">
        <f>'Initial data collection sheet'!H60*'Initial data collection sheet'!O60</f>
        <v>0</v>
      </c>
      <c r="F44" s="607">
        <f>'Initial data collection sheet'!H60*'Initial data collection sheet'!P60</f>
        <v>0</v>
      </c>
      <c r="G44" s="608">
        <f>'Initial data collection sheet'!I60*'Initial data collection sheet'!N60</f>
        <v>0</v>
      </c>
      <c r="H44" s="608">
        <f>'Initial data collection sheet'!I60*'Initial data collection sheet'!O60</f>
        <v>0</v>
      </c>
      <c r="I44" s="765">
        <f>'Initial data collection sheet'!I60*'Initial data collection sheet'!P60</f>
        <v>0</v>
      </c>
      <c r="J44" s="315"/>
    </row>
    <row r="45" spans="1:10">
      <c r="A45" s="606" t="str">
        <f>'Initial data collection sheet'!A61</f>
        <v>Leeks</v>
      </c>
      <c r="B45" s="604">
        <f>'Initial data collection sheet'!H61</f>
        <v>0</v>
      </c>
      <c r="C45" s="604">
        <f>'Initial data collection sheet'!I61</f>
        <v>0</v>
      </c>
      <c r="D45" s="607">
        <f>'Initial data collection sheet'!H61*'Initial data collection sheet'!N61</f>
        <v>0</v>
      </c>
      <c r="E45" s="607">
        <f>'Initial data collection sheet'!H61*'Initial data collection sheet'!O61</f>
        <v>0</v>
      </c>
      <c r="F45" s="607">
        <f>'Initial data collection sheet'!H61*'Initial data collection sheet'!P61</f>
        <v>0</v>
      </c>
      <c r="G45" s="608">
        <f>'Initial data collection sheet'!I61*'Initial data collection sheet'!N61</f>
        <v>0</v>
      </c>
      <c r="H45" s="608">
        <f>'Initial data collection sheet'!I61*'Initial data collection sheet'!O61</f>
        <v>0</v>
      </c>
      <c r="I45" s="765">
        <f>'Initial data collection sheet'!I61*'Initial data collection sheet'!P61</f>
        <v>0</v>
      </c>
      <c r="J45" s="315"/>
    </row>
    <row r="46" spans="1:10">
      <c r="A46" s="606" t="str">
        <f>'Initial data collection sheet'!A62</f>
        <v>Onions</v>
      </c>
      <c r="B46" s="604">
        <f>'Initial data collection sheet'!H62</f>
        <v>0</v>
      </c>
      <c r="C46" s="604">
        <f>'Initial data collection sheet'!I62</f>
        <v>0</v>
      </c>
      <c r="D46" s="607">
        <f>'Initial data collection sheet'!H62*'Initial data collection sheet'!N62</f>
        <v>0</v>
      </c>
      <c r="E46" s="607">
        <f>'Initial data collection sheet'!H62*'Initial data collection sheet'!O62</f>
        <v>0</v>
      </c>
      <c r="F46" s="607">
        <f>'Initial data collection sheet'!H62*'Initial data collection sheet'!P62</f>
        <v>0</v>
      </c>
      <c r="G46" s="608">
        <f>'Initial data collection sheet'!I62*'Initial data collection sheet'!N62</f>
        <v>0</v>
      </c>
      <c r="H46" s="608">
        <f>'Initial data collection sheet'!I62*'Initial data collection sheet'!O62</f>
        <v>0</v>
      </c>
      <c r="I46" s="765">
        <f>'Initial data collection sheet'!I62*'Initial data collection sheet'!P62</f>
        <v>0</v>
      </c>
      <c r="J46" s="315"/>
    </row>
    <row r="47" spans="1:10">
      <c r="A47" s="606" t="str">
        <f>'Initial data collection sheet'!A63</f>
        <v>Other veg</v>
      </c>
      <c r="B47" s="604">
        <f>'Initial data collection sheet'!H63</f>
        <v>0</v>
      </c>
      <c r="C47" s="604">
        <f>'Initial data collection sheet'!I63</f>
        <v>0</v>
      </c>
      <c r="D47" s="607">
        <f>'Initial data collection sheet'!H63*'Initial data collection sheet'!N63</f>
        <v>0</v>
      </c>
      <c r="E47" s="607">
        <f>'Initial data collection sheet'!H63*'Initial data collection sheet'!O63</f>
        <v>0</v>
      </c>
      <c r="F47" s="607">
        <f>'Initial data collection sheet'!H63*'Initial data collection sheet'!P63</f>
        <v>0</v>
      </c>
      <c r="G47" s="608">
        <f>'Initial data collection sheet'!I63*'Initial data collection sheet'!N63</f>
        <v>0</v>
      </c>
      <c r="H47" s="608">
        <f>'Initial data collection sheet'!I63*'Initial data collection sheet'!O63</f>
        <v>0</v>
      </c>
      <c r="I47" s="765">
        <f>'Initial data collection sheet'!I63*'Initial data collection sheet'!P63</f>
        <v>0</v>
      </c>
      <c r="J47" s="315"/>
    </row>
    <row r="48" spans="1:10">
      <c r="A48" s="606" t="str">
        <f>'Initial data collection sheet'!A64</f>
        <v>Market garden - one third fertility building</v>
      </c>
      <c r="B48" s="604">
        <f>'Initial data collection sheet'!H64</f>
        <v>0</v>
      </c>
      <c r="C48" s="604">
        <f>'Initial data collection sheet'!I64</f>
        <v>0</v>
      </c>
      <c r="D48" s="607">
        <f>'Initial data collection sheet'!H64*'Initial data collection sheet'!N64</f>
        <v>0</v>
      </c>
      <c r="E48" s="607">
        <f>'Initial data collection sheet'!H64*'Initial data collection sheet'!O64</f>
        <v>0</v>
      </c>
      <c r="F48" s="607">
        <f>'Initial data collection sheet'!H64*'Initial data collection sheet'!P64</f>
        <v>0</v>
      </c>
      <c r="G48" s="608">
        <f>'Initial data collection sheet'!I64*'Initial data collection sheet'!N64</f>
        <v>0</v>
      </c>
      <c r="H48" s="608">
        <f>'Initial data collection sheet'!I64*'Initial data collection sheet'!O64</f>
        <v>0</v>
      </c>
      <c r="I48" s="765">
        <f>'Initial data collection sheet'!I64*'Initial data collection sheet'!P64</f>
        <v>0</v>
      </c>
      <c r="J48" s="315"/>
    </row>
    <row r="49" spans="1:10">
      <c r="A49" s="606" t="str">
        <f>'Initial data collection sheet'!A65</f>
        <v>Market garden - full production</v>
      </c>
      <c r="B49" s="604">
        <f>'Initial data collection sheet'!H65</f>
        <v>0</v>
      </c>
      <c r="C49" s="604">
        <f>'Initial data collection sheet'!I65</f>
        <v>0</v>
      </c>
      <c r="D49" s="607">
        <f>'Initial data collection sheet'!H65*'Initial data collection sheet'!N65</f>
        <v>0</v>
      </c>
      <c r="E49" s="607">
        <f>'Initial data collection sheet'!H65*'Initial data collection sheet'!O65</f>
        <v>0</v>
      </c>
      <c r="F49" s="607">
        <f>'Initial data collection sheet'!H65*'Initial data collection sheet'!P65</f>
        <v>0</v>
      </c>
      <c r="G49" s="608">
        <f>'Initial data collection sheet'!I65*'Initial data collection sheet'!N65</f>
        <v>0</v>
      </c>
      <c r="H49" s="608">
        <f>'Initial data collection sheet'!I65*'Initial data collection sheet'!O65</f>
        <v>0</v>
      </c>
      <c r="I49" s="765">
        <f>'Initial data collection sheet'!I65*'Initial data collection sheet'!P65</f>
        <v>0</v>
      </c>
      <c r="J49" s="315"/>
    </row>
    <row r="50" spans="1:10">
      <c r="A50" s="606" t="str">
        <f>'Initial data collection sheet'!A66</f>
        <v>Glasshouses and polytunnels</v>
      </c>
      <c r="B50" s="604">
        <f>'Initial data collection sheet'!H66</f>
        <v>0</v>
      </c>
      <c r="C50" s="604">
        <f>'Initial data collection sheet'!I66</f>
        <v>0</v>
      </c>
      <c r="D50" s="607">
        <f>'Initial data collection sheet'!H66*'Initial data collection sheet'!N66</f>
        <v>0</v>
      </c>
      <c r="E50" s="607">
        <f>'Initial data collection sheet'!H66*'Initial data collection sheet'!O66</f>
        <v>0</v>
      </c>
      <c r="F50" s="607">
        <f>'Initial data collection sheet'!H66*'Initial data collection sheet'!P66</f>
        <v>0</v>
      </c>
      <c r="G50" s="608">
        <f>'Initial data collection sheet'!I66*'Initial data collection sheet'!N66</f>
        <v>0</v>
      </c>
      <c r="H50" s="608">
        <f>'Initial data collection sheet'!I66*'Initial data collection sheet'!O66</f>
        <v>0</v>
      </c>
      <c r="I50" s="765">
        <f>'Initial data collection sheet'!I66*'Initial data collection sheet'!P66</f>
        <v>0</v>
      </c>
      <c r="J50" s="315"/>
    </row>
    <row r="51" spans="1:10">
      <c r="A51" s="603" t="str">
        <f>'Initial data collection sheet'!A77</f>
        <v>Soft fruit</v>
      </c>
      <c r="B51" s="604"/>
      <c r="C51" s="604"/>
      <c r="D51" s="607"/>
      <c r="E51" s="607"/>
      <c r="F51" s="607"/>
      <c r="G51" s="608"/>
      <c r="H51" s="608"/>
      <c r="I51" s="765"/>
      <c r="J51" s="315"/>
    </row>
    <row r="52" spans="1:10">
      <c r="A52" s="606" t="str">
        <f>'Initial data collection sheet'!A69</f>
        <v>Apples - dessert</v>
      </c>
      <c r="B52" s="604">
        <f>'Initial data collection sheet'!H69</f>
        <v>0</v>
      </c>
      <c r="C52" s="604">
        <f>'Initial data collection sheet'!I69</f>
        <v>0</v>
      </c>
      <c r="D52" s="607">
        <f>'Initial data collection sheet'!H69*'Initial data collection sheet'!N69</f>
        <v>0</v>
      </c>
      <c r="E52" s="607">
        <f>'Initial data collection sheet'!H69*'Initial data collection sheet'!O69</f>
        <v>0</v>
      </c>
      <c r="F52" s="607">
        <f>'Initial data collection sheet'!H69*'Initial data collection sheet'!P69</f>
        <v>0</v>
      </c>
      <c r="G52" s="608">
        <f>'Initial data collection sheet'!I69*'Initial data collection sheet'!N69</f>
        <v>0</v>
      </c>
      <c r="H52" s="608">
        <f>'Initial data collection sheet'!I69*'Initial data collection sheet'!O69</f>
        <v>0</v>
      </c>
      <c r="I52" s="765">
        <f>'Initial data collection sheet'!I69*'Initial data collection sheet'!P69</f>
        <v>0</v>
      </c>
      <c r="J52" s="315"/>
    </row>
    <row r="53" spans="1:10">
      <c r="A53" s="606" t="str">
        <f>'Initial data collection sheet'!A70</f>
        <v>Apples - culinary</v>
      </c>
      <c r="B53" s="604">
        <f>'Initial data collection sheet'!H70</f>
        <v>0</v>
      </c>
      <c r="C53" s="604">
        <f>'Initial data collection sheet'!I70</f>
        <v>0</v>
      </c>
      <c r="D53" s="607">
        <f>'Initial data collection sheet'!H70*'Initial data collection sheet'!N70</f>
        <v>0</v>
      </c>
      <c r="E53" s="607">
        <f>'Initial data collection sheet'!H70*'Initial data collection sheet'!O70</f>
        <v>0</v>
      </c>
      <c r="F53" s="607">
        <f>'Initial data collection sheet'!H70*'Initial data collection sheet'!P70</f>
        <v>0</v>
      </c>
      <c r="G53" s="608">
        <f>'Initial data collection sheet'!I70*'Initial data collection sheet'!N70</f>
        <v>0</v>
      </c>
      <c r="H53" s="608">
        <f>'Initial data collection sheet'!I70*'Initial data collection sheet'!O70</f>
        <v>0</v>
      </c>
      <c r="I53" s="765">
        <f>'Initial data collection sheet'!I70*'Initial data collection sheet'!P70</f>
        <v>0</v>
      </c>
      <c r="J53" s="315"/>
    </row>
    <row r="54" spans="1:10">
      <c r="A54" s="606" t="str">
        <f>'Initial data collection sheet'!A71</f>
        <v>Pears</v>
      </c>
      <c r="B54" s="604">
        <f>'Initial data collection sheet'!H71</f>
        <v>0</v>
      </c>
      <c r="C54" s="604">
        <f>'Initial data collection sheet'!I71</f>
        <v>0</v>
      </c>
      <c r="D54" s="607">
        <f>'Initial data collection sheet'!H71*'Initial data collection sheet'!N71</f>
        <v>0</v>
      </c>
      <c r="E54" s="607">
        <f>'Initial data collection sheet'!H71*'Initial data collection sheet'!O71</f>
        <v>0</v>
      </c>
      <c r="F54" s="607">
        <f>'Initial data collection sheet'!H71*'Initial data collection sheet'!P71</f>
        <v>0</v>
      </c>
      <c r="G54" s="608">
        <f>'Initial data collection sheet'!I71*'Initial data collection sheet'!N71</f>
        <v>0</v>
      </c>
      <c r="H54" s="608">
        <f>'Initial data collection sheet'!I71*'Initial data collection sheet'!O71</f>
        <v>0</v>
      </c>
      <c r="I54" s="765">
        <f>'Initial data collection sheet'!I71*'Initial data collection sheet'!P71</f>
        <v>0</v>
      </c>
      <c r="J54" s="315"/>
    </row>
    <row r="55" spans="1:10">
      <c r="A55" s="606" t="str">
        <f>'Initial data collection sheet'!A72</f>
        <v>Plums</v>
      </c>
      <c r="B55" s="604">
        <f>'Initial data collection sheet'!H72</f>
        <v>0</v>
      </c>
      <c r="C55" s="604">
        <f>'Initial data collection sheet'!I72</f>
        <v>0</v>
      </c>
      <c r="D55" s="607">
        <f>'Initial data collection sheet'!H72*'Initial data collection sheet'!N72</f>
        <v>0</v>
      </c>
      <c r="E55" s="607">
        <f>'Initial data collection sheet'!H72*'Initial data collection sheet'!O72</f>
        <v>0</v>
      </c>
      <c r="F55" s="607">
        <f>'Initial data collection sheet'!H72*'Initial data collection sheet'!P72</f>
        <v>0</v>
      </c>
      <c r="G55" s="608">
        <f>'Initial data collection sheet'!I72*'Initial data collection sheet'!N72</f>
        <v>0</v>
      </c>
      <c r="H55" s="608">
        <f>'Initial data collection sheet'!I72*'Initial data collection sheet'!O72</f>
        <v>0</v>
      </c>
      <c r="I55" s="765">
        <f>'Initial data collection sheet'!I72*'Initial data collection sheet'!P72</f>
        <v>0</v>
      </c>
      <c r="J55" s="315"/>
    </row>
    <row r="56" spans="1:10">
      <c r="A56" s="606" t="str">
        <f>'Initial data collection sheet'!A73</f>
        <v>Cherries</v>
      </c>
      <c r="B56" s="604">
        <f>'Initial data collection sheet'!H73</f>
        <v>0</v>
      </c>
      <c r="C56" s="604">
        <f>'Initial data collection sheet'!I73</f>
        <v>0</v>
      </c>
      <c r="D56" s="607">
        <f>'Initial data collection sheet'!H73*'Initial data collection sheet'!N73</f>
        <v>0</v>
      </c>
      <c r="E56" s="607">
        <f>'Initial data collection sheet'!H73*'Initial data collection sheet'!O73</f>
        <v>0</v>
      </c>
      <c r="F56" s="607">
        <f>'Initial data collection sheet'!H73*'Initial data collection sheet'!P73</f>
        <v>0</v>
      </c>
      <c r="G56" s="608">
        <f>'Initial data collection sheet'!I73*'Initial data collection sheet'!N73</f>
        <v>0</v>
      </c>
      <c r="H56" s="608">
        <f>'Initial data collection sheet'!I73*'Initial data collection sheet'!O73</f>
        <v>0</v>
      </c>
      <c r="I56" s="765">
        <f>'Initial data collection sheet'!I73*'Initial data collection sheet'!P73</f>
        <v>0</v>
      </c>
      <c r="J56" s="315"/>
    </row>
    <row r="57" spans="1:10">
      <c r="A57" s="606" t="str">
        <f>'Initial data collection sheet'!A78</f>
        <v>Strawberries</v>
      </c>
      <c r="B57" s="604">
        <f>'Initial data collection sheet'!H78</f>
        <v>0</v>
      </c>
      <c r="C57" s="604">
        <f>'Initial data collection sheet'!I78</f>
        <v>0</v>
      </c>
      <c r="D57" s="607">
        <f>'Initial data collection sheet'!H78*'Initial data collection sheet'!N78</f>
        <v>0</v>
      </c>
      <c r="E57" s="607">
        <f>'Initial data collection sheet'!H78*'Initial data collection sheet'!O78</f>
        <v>0</v>
      </c>
      <c r="F57" s="607">
        <f>'Initial data collection sheet'!H78*'Initial data collection sheet'!P78</f>
        <v>0</v>
      </c>
      <c r="G57" s="608">
        <f>'Initial data collection sheet'!I78*'Initial data collection sheet'!N78</f>
        <v>0</v>
      </c>
      <c r="H57" s="608">
        <f>'Initial data collection sheet'!I78*'Initial data collection sheet'!O78</f>
        <v>0</v>
      </c>
      <c r="I57" s="765">
        <f>'Initial data collection sheet'!I78*'Initial data collection sheet'!P78</f>
        <v>0</v>
      </c>
      <c r="J57" s="315"/>
    </row>
    <row r="58" spans="1:10">
      <c r="A58" s="606" t="str">
        <f>'Initial data collection sheet'!A79</f>
        <v>Raspberries</v>
      </c>
      <c r="B58" s="604">
        <f>'Initial data collection sheet'!H79</f>
        <v>0</v>
      </c>
      <c r="C58" s="604">
        <f>'Initial data collection sheet'!I79</f>
        <v>0</v>
      </c>
      <c r="D58" s="607">
        <f>'Initial data collection sheet'!H79*'Initial data collection sheet'!N79</f>
        <v>0</v>
      </c>
      <c r="E58" s="607">
        <f>'Initial data collection sheet'!H79*'Initial data collection sheet'!O79</f>
        <v>0</v>
      </c>
      <c r="F58" s="607">
        <f>'Initial data collection sheet'!H79*'Initial data collection sheet'!P79</f>
        <v>0</v>
      </c>
      <c r="G58" s="608">
        <f>'Initial data collection sheet'!I79*'Initial data collection sheet'!N79</f>
        <v>0</v>
      </c>
      <c r="H58" s="608">
        <f>'Initial data collection sheet'!I79*'Initial data collection sheet'!O79</f>
        <v>0</v>
      </c>
      <c r="I58" s="765">
        <f>'Initial data collection sheet'!I79*'Initial data collection sheet'!P79</f>
        <v>0</v>
      </c>
      <c r="J58" s="315"/>
    </row>
    <row r="59" spans="1:10">
      <c r="A59" s="606" t="str">
        <f>'Initial data collection sheet'!A80</f>
        <v>Blackcurrants</v>
      </c>
      <c r="B59" s="604">
        <f>'Initial data collection sheet'!H80</f>
        <v>0</v>
      </c>
      <c r="C59" s="604">
        <f>'Initial data collection sheet'!I80</f>
        <v>0</v>
      </c>
      <c r="D59" s="607">
        <f>'Initial data collection sheet'!H80*'Initial data collection sheet'!N80</f>
        <v>0</v>
      </c>
      <c r="E59" s="607">
        <f>'Initial data collection sheet'!H80*'Initial data collection sheet'!O80</f>
        <v>0</v>
      </c>
      <c r="F59" s="607">
        <f>'Initial data collection sheet'!H80*'Initial data collection sheet'!P80</f>
        <v>0</v>
      </c>
      <c r="G59" s="608">
        <f>'Initial data collection sheet'!I80*'Initial data collection sheet'!N80</f>
        <v>0</v>
      </c>
      <c r="H59" s="608">
        <f>'Initial data collection sheet'!I80*'Initial data collection sheet'!O80</f>
        <v>0</v>
      </c>
      <c r="I59" s="765">
        <f>'Initial data collection sheet'!I80*'Initial data collection sheet'!P80</f>
        <v>0</v>
      </c>
      <c r="J59" s="315"/>
    </row>
    <row r="60" spans="1:10">
      <c r="A60" s="606" t="str">
        <f>'Initial data collection sheet'!A81</f>
        <v>Gooseberries</v>
      </c>
      <c r="B60" s="604">
        <f>'Initial data collection sheet'!H81</f>
        <v>0</v>
      </c>
      <c r="C60" s="604">
        <f>'Initial data collection sheet'!I81</f>
        <v>0</v>
      </c>
      <c r="D60" s="607">
        <f>'Initial data collection sheet'!H81*'Initial data collection sheet'!N81</f>
        <v>0</v>
      </c>
      <c r="E60" s="607">
        <f>'Initial data collection sheet'!H81*'Initial data collection sheet'!O81</f>
        <v>0</v>
      </c>
      <c r="F60" s="607">
        <f>'Initial data collection sheet'!H81*'Initial data collection sheet'!P81</f>
        <v>0</v>
      </c>
      <c r="G60" s="608">
        <f>'Initial data collection sheet'!I81*'Initial data collection sheet'!N81</f>
        <v>0</v>
      </c>
      <c r="H60" s="608">
        <f>'Initial data collection sheet'!I81*'Initial data collection sheet'!O81</f>
        <v>0</v>
      </c>
      <c r="I60" s="765">
        <f>'Initial data collection sheet'!I81*'Initial data collection sheet'!P81</f>
        <v>0</v>
      </c>
      <c r="J60" s="315"/>
    </row>
    <row r="61" spans="1:10">
      <c r="A61" s="606" t="str">
        <f>'Initial data collection sheet'!A82</f>
        <v>Other fruit</v>
      </c>
      <c r="B61" s="604">
        <f>'Initial data collection sheet'!H82</f>
        <v>0</v>
      </c>
      <c r="C61" s="604">
        <f>'Initial data collection sheet'!I82</f>
        <v>0</v>
      </c>
      <c r="D61" s="607">
        <f>'Initial data collection sheet'!H82*'Initial data collection sheet'!N82</f>
        <v>0</v>
      </c>
      <c r="E61" s="607">
        <f>'Initial data collection sheet'!H82*'Initial data collection sheet'!O82</f>
        <v>0</v>
      </c>
      <c r="F61" s="607">
        <f>'Initial data collection sheet'!H82*'Initial data collection sheet'!P82</f>
        <v>0</v>
      </c>
      <c r="G61" s="608">
        <f>'Initial data collection sheet'!I82*'Initial data collection sheet'!N82</f>
        <v>0</v>
      </c>
      <c r="H61" s="608">
        <f>'Initial data collection sheet'!I82*'Initial data collection sheet'!O82</f>
        <v>0</v>
      </c>
      <c r="I61" s="765">
        <f>'Initial data collection sheet'!I82*'Initial data collection sheet'!P82</f>
        <v>0</v>
      </c>
      <c r="J61" s="315"/>
    </row>
    <row r="62" spans="1:10">
      <c r="A62" s="606"/>
      <c r="B62" s="604"/>
      <c r="C62" s="604"/>
      <c r="D62" s="607"/>
      <c r="E62" s="607"/>
      <c r="F62" s="607"/>
      <c r="G62" s="608"/>
      <c r="H62" s="608"/>
      <c r="I62" s="765"/>
      <c r="J62" s="315"/>
    </row>
    <row r="63" spans="1:10">
      <c r="A63" s="603" t="str">
        <f>'Initial data collection sheet'!A84</f>
        <v>Energy crops</v>
      </c>
      <c r="B63" s="604">
        <f>'Initial data collection sheet'!H84</f>
        <v>0</v>
      </c>
      <c r="C63" s="604">
        <f>'Initial data collection sheet'!I84</f>
        <v>0</v>
      </c>
      <c r="D63" s="607">
        <f>'Initial data collection sheet'!H84*'Initial data collection sheet'!N84</f>
        <v>0</v>
      </c>
      <c r="E63" s="607">
        <f>'Initial data collection sheet'!H84*'Initial data collection sheet'!O84</f>
        <v>0</v>
      </c>
      <c r="F63" s="607">
        <f>'Initial data collection sheet'!H84*'Initial data collection sheet'!P84</f>
        <v>0</v>
      </c>
      <c r="G63" s="608">
        <f>'Initial data collection sheet'!I84*'Initial data collection sheet'!N84</f>
        <v>0</v>
      </c>
      <c r="H63" s="608">
        <f>'Initial data collection sheet'!I84*'Initial data collection sheet'!O84</f>
        <v>0</v>
      </c>
      <c r="I63" s="765">
        <f>'Initial data collection sheet'!I84*'Initial data collection sheet'!P84</f>
        <v>0</v>
      </c>
      <c r="J63" s="315"/>
    </row>
    <row r="64" spans="1:10">
      <c r="A64" s="606" t="str">
        <f>'Initial data collection sheet'!A85</f>
        <v>Miscanthus</v>
      </c>
      <c r="B64" s="604">
        <f>'Initial data collection sheet'!H85</f>
        <v>0</v>
      </c>
      <c r="C64" s="604">
        <f>'Initial data collection sheet'!I85</f>
        <v>0</v>
      </c>
      <c r="D64" s="607">
        <f>'Initial data collection sheet'!H85*'Initial data collection sheet'!N85</f>
        <v>0</v>
      </c>
      <c r="E64" s="607">
        <f>'Initial data collection sheet'!H85*'Initial data collection sheet'!O85</f>
        <v>0</v>
      </c>
      <c r="F64" s="607">
        <f>'Initial data collection sheet'!H85*'Initial data collection sheet'!P85</f>
        <v>0</v>
      </c>
      <c r="G64" s="608">
        <f>'Initial data collection sheet'!I85*'Initial data collection sheet'!N85</f>
        <v>0</v>
      </c>
      <c r="H64" s="608">
        <f>'Initial data collection sheet'!I85*'Initial data collection sheet'!O85</f>
        <v>0</v>
      </c>
      <c r="I64" s="765">
        <f>'Initial data collection sheet'!I85*'Initial data collection sheet'!P85</f>
        <v>0</v>
      </c>
      <c r="J64" s="315"/>
    </row>
    <row r="65" spans="1:10">
      <c r="A65" s="606" t="str">
        <f>'Initial data collection sheet'!A86</f>
        <v>Other non-woody energy crop</v>
      </c>
      <c r="B65" s="604">
        <f>'Initial data collection sheet'!H86</f>
        <v>0</v>
      </c>
      <c r="C65" s="604">
        <f>'Initial data collection sheet'!I86</f>
        <v>0</v>
      </c>
      <c r="D65" s="607">
        <f>'Initial data collection sheet'!H86*'Initial data collection sheet'!N86</f>
        <v>0</v>
      </c>
      <c r="E65" s="607">
        <f>'Initial data collection sheet'!H86*'Initial data collection sheet'!O86</f>
        <v>0</v>
      </c>
      <c r="F65" s="607">
        <f>'Initial data collection sheet'!H86*'Initial data collection sheet'!P86</f>
        <v>0</v>
      </c>
      <c r="G65" s="608">
        <f>'Initial data collection sheet'!I86*'Initial data collection sheet'!N86</f>
        <v>0</v>
      </c>
      <c r="H65" s="608">
        <f>'Initial data collection sheet'!I86*'Initial data collection sheet'!O86</f>
        <v>0</v>
      </c>
      <c r="I65" s="765">
        <f>'Initial data collection sheet'!I86*'Initial data collection sheet'!P86</f>
        <v>0</v>
      </c>
      <c r="J65" s="315"/>
    </row>
    <row r="66" spans="1:10">
      <c r="A66" s="606"/>
      <c r="B66" s="604"/>
      <c r="C66" s="604"/>
      <c r="D66" s="607"/>
      <c r="E66" s="607"/>
      <c r="F66" s="607"/>
      <c r="G66" s="608"/>
      <c r="H66" s="608"/>
      <c r="I66" s="765"/>
      <c r="J66" s="315"/>
    </row>
    <row r="67" spans="1:10">
      <c r="A67" s="603" t="str">
        <f>'Initial data collection sheet'!A88</f>
        <v>Any other crops</v>
      </c>
      <c r="B67" s="604"/>
      <c r="C67" s="604"/>
      <c r="D67" s="607"/>
      <c r="E67" s="607"/>
      <c r="F67" s="607"/>
      <c r="G67" s="608"/>
      <c r="H67" s="608"/>
      <c r="I67" s="765"/>
      <c r="J67" s="315"/>
    </row>
    <row r="68" spans="1:10">
      <c r="A68" s="606" t="str">
        <f>'Initial data collection sheet'!A89</f>
        <v>Other crop 1</v>
      </c>
      <c r="B68" s="604">
        <f>'Initial data collection sheet'!H89</f>
        <v>0</v>
      </c>
      <c r="C68" s="604">
        <f>'Initial data collection sheet'!I89</f>
        <v>0</v>
      </c>
      <c r="D68" s="607">
        <f>'Initial data collection sheet'!H89*'Initial data collection sheet'!N89</f>
        <v>0</v>
      </c>
      <c r="E68" s="607">
        <f>'Initial data collection sheet'!H89*'Initial data collection sheet'!O89</f>
        <v>0</v>
      </c>
      <c r="F68" s="607">
        <f>'Initial data collection sheet'!H89*'Initial data collection sheet'!P89</f>
        <v>0</v>
      </c>
      <c r="G68" s="608">
        <f>'Initial data collection sheet'!I89*'Initial data collection sheet'!N89</f>
        <v>0</v>
      </c>
      <c r="H68" s="608">
        <f>'Initial data collection sheet'!I89*'Initial data collection sheet'!O89</f>
        <v>0</v>
      </c>
      <c r="I68" s="765">
        <f>'Initial data collection sheet'!I89*'Initial data collection sheet'!P89</f>
        <v>0</v>
      </c>
      <c r="J68" s="315"/>
    </row>
    <row r="69" spans="1:10">
      <c r="A69" s="606" t="str">
        <f>'Initial data collection sheet'!A90</f>
        <v>Other crop 2</v>
      </c>
      <c r="B69" s="604">
        <f>'Initial data collection sheet'!H90</f>
        <v>0</v>
      </c>
      <c r="C69" s="604">
        <f>'Initial data collection sheet'!I90</f>
        <v>0</v>
      </c>
      <c r="D69" s="607">
        <f>'Initial data collection sheet'!H90*'Initial data collection sheet'!N90</f>
        <v>0</v>
      </c>
      <c r="E69" s="607">
        <f>'Initial data collection sheet'!H90*'Initial data collection sheet'!O90</f>
        <v>0</v>
      </c>
      <c r="F69" s="607">
        <f>'Initial data collection sheet'!H90*'Initial data collection sheet'!P90</f>
        <v>0</v>
      </c>
      <c r="G69" s="608">
        <f>'Initial data collection sheet'!I90*'Initial data collection sheet'!N90</f>
        <v>0</v>
      </c>
      <c r="H69" s="608">
        <f>'Initial data collection sheet'!I90*'Initial data collection sheet'!O90</f>
        <v>0</v>
      </c>
      <c r="I69" s="765">
        <f>'Initial data collection sheet'!I90*'Initial data collection sheet'!P90</f>
        <v>0</v>
      </c>
      <c r="J69" s="315"/>
    </row>
    <row r="70" spans="1:10">
      <c r="A70" s="606" t="str">
        <f>'Initial data collection sheet'!A91</f>
        <v>Other crop 3</v>
      </c>
      <c r="B70" s="604">
        <f>'Initial data collection sheet'!H91</f>
        <v>0</v>
      </c>
      <c r="C70" s="604">
        <f>'Initial data collection sheet'!I91</f>
        <v>0</v>
      </c>
      <c r="D70" s="607">
        <f>'Initial data collection sheet'!H91*'Initial data collection sheet'!N91</f>
        <v>0</v>
      </c>
      <c r="E70" s="607">
        <f>'Initial data collection sheet'!H91*'Initial data collection sheet'!O91</f>
        <v>0</v>
      </c>
      <c r="F70" s="607">
        <f>'Initial data collection sheet'!H91*'Initial data collection sheet'!P91</f>
        <v>0</v>
      </c>
      <c r="G70" s="608">
        <f>'Initial data collection sheet'!I91*'Initial data collection sheet'!N91</f>
        <v>0</v>
      </c>
      <c r="H70" s="608">
        <f>'Initial data collection sheet'!I91*'Initial data collection sheet'!O91</f>
        <v>0</v>
      </c>
      <c r="I70" s="765">
        <f>'Initial data collection sheet'!I91*'Initial data collection sheet'!P91</f>
        <v>0</v>
      </c>
      <c r="J70" s="315"/>
    </row>
    <row r="71" spans="1:10">
      <c r="A71" s="606"/>
      <c r="B71" s="604"/>
      <c r="C71" s="604"/>
      <c r="D71" s="607"/>
      <c r="E71" s="607"/>
      <c r="F71" s="607"/>
      <c r="G71" s="608"/>
      <c r="H71" s="608"/>
      <c r="I71" s="765"/>
      <c r="J71" s="315"/>
    </row>
    <row r="72" spans="1:10">
      <c r="A72" s="603" t="str">
        <f>'Initial data collection sheet'!A243</f>
        <v>Imported Seeds</v>
      </c>
      <c r="B72" s="604"/>
      <c r="C72" s="604"/>
      <c r="D72" s="607"/>
      <c r="E72" s="607"/>
      <c r="F72" s="607"/>
      <c r="G72" s="608"/>
      <c r="H72" s="608"/>
      <c r="I72" s="765"/>
      <c r="J72" s="315"/>
    </row>
    <row r="73" spans="1:10">
      <c r="A73" s="606" t="str">
        <f>'Initial data collection sheet'!A244</f>
        <v>Wheat - feed</v>
      </c>
      <c r="B73" s="604">
        <f>'Initial data collection sheet'!H244</f>
        <v>0</v>
      </c>
      <c r="C73" s="604">
        <f>'Initial data collection sheet'!I244</f>
        <v>0</v>
      </c>
      <c r="D73" s="607">
        <f>'Initial data collection sheet'!H244*'Initial data collection sheet'!N244</f>
        <v>0</v>
      </c>
      <c r="E73" s="607">
        <f>'Initial data collection sheet'!H244*'Initial data collection sheet'!O244</f>
        <v>0</v>
      </c>
      <c r="F73" s="607">
        <f>'Initial data collection sheet'!H244*'Initial data collection sheet'!P244</f>
        <v>0</v>
      </c>
      <c r="G73" s="608">
        <v>0</v>
      </c>
      <c r="H73" s="608">
        <v>0</v>
      </c>
      <c r="I73" s="765">
        <v>0</v>
      </c>
      <c r="J73" s="315"/>
    </row>
    <row r="74" spans="1:10">
      <c r="A74" s="606" t="str">
        <f>'Initial data collection sheet'!A245</f>
        <v>Wheat - milling</v>
      </c>
      <c r="B74" s="604">
        <f>'Initial data collection sheet'!H245</f>
        <v>0</v>
      </c>
      <c r="C74" s="604">
        <f>'Initial data collection sheet'!I245</f>
        <v>0</v>
      </c>
      <c r="D74" s="607">
        <f>'Initial data collection sheet'!H245*'Initial data collection sheet'!N245</f>
        <v>0</v>
      </c>
      <c r="E74" s="607">
        <f>'Initial data collection sheet'!H245*'Initial data collection sheet'!O245</f>
        <v>0</v>
      </c>
      <c r="F74" s="607">
        <f>'Initial data collection sheet'!H245*'Initial data collection sheet'!P245</f>
        <v>0</v>
      </c>
      <c r="G74" s="608">
        <v>0</v>
      </c>
      <c r="H74" s="608">
        <v>0</v>
      </c>
      <c r="I74" s="765">
        <v>0</v>
      </c>
      <c r="J74" s="315"/>
    </row>
    <row r="75" spans="1:10">
      <c r="A75" s="606" t="str">
        <f>'Initial data collection sheet'!A246</f>
        <v>Barley</v>
      </c>
      <c r="B75" s="604">
        <f>'Initial data collection sheet'!H246</f>
        <v>0</v>
      </c>
      <c r="C75" s="604">
        <f>'Initial data collection sheet'!I246</f>
        <v>0</v>
      </c>
      <c r="D75" s="607">
        <f>'Initial data collection sheet'!H246*'Initial data collection sheet'!N246</f>
        <v>0</v>
      </c>
      <c r="E75" s="607">
        <f>'Initial data collection sheet'!H246*'Initial data collection sheet'!O246</f>
        <v>0</v>
      </c>
      <c r="F75" s="607">
        <f>'Initial data collection sheet'!H246*'Initial data collection sheet'!P246</f>
        <v>0</v>
      </c>
      <c r="G75" s="608">
        <v>0</v>
      </c>
      <c r="H75" s="608">
        <v>0</v>
      </c>
      <c r="I75" s="765">
        <v>0</v>
      </c>
      <c r="J75" s="315"/>
    </row>
    <row r="76" spans="1:10">
      <c r="A76" s="606" t="str">
        <f>'Initial data collection sheet'!A247</f>
        <v>Oats</v>
      </c>
      <c r="B76" s="604">
        <f>'Initial data collection sheet'!H247</f>
        <v>0</v>
      </c>
      <c r="C76" s="604">
        <f>'Initial data collection sheet'!I247</f>
        <v>0</v>
      </c>
      <c r="D76" s="607">
        <f>'Initial data collection sheet'!H247*'Initial data collection sheet'!N247</f>
        <v>0</v>
      </c>
      <c r="E76" s="607">
        <f>'Initial data collection sheet'!H247*'Initial data collection sheet'!O247</f>
        <v>0</v>
      </c>
      <c r="F76" s="607">
        <f>'Initial data collection sheet'!H247*'Initial data collection sheet'!P247</f>
        <v>0</v>
      </c>
      <c r="G76" s="608">
        <v>0</v>
      </c>
      <c r="H76" s="608">
        <v>0</v>
      </c>
      <c r="I76" s="765">
        <v>0</v>
      </c>
      <c r="J76" s="315"/>
    </row>
    <row r="77" spans="1:10">
      <c r="A77" s="606" t="str">
        <f>'Initial data collection sheet'!A248</f>
        <v>Rye</v>
      </c>
      <c r="B77" s="604">
        <f>'Initial data collection sheet'!H248</f>
        <v>0</v>
      </c>
      <c r="C77" s="604">
        <f>'Initial data collection sheet'!I248</f>
        <v>0</v>
      </c>
      <c r="D77" s="607">
        <f>'Initial data collection sheet'!H248*'Initial data collection sheet'!N248</f>
        <v>0</v>
      </c>
      <c r="E77" s="607">
        <f>'Initial data collection sheet'!H248*'Initial data collection sheet'!O248</f>
        <v>0</v>
      </c>
      <c r="F77" s="607">
        <f>'Initial data collection sheet'!H248*'Initial data collection sheet'!P248</f>
        <v>0</v>
      </c>
      <c r="G77" s="608">
        <v>0</v>
      </c>
      <c r="H77" s="608">
        <v>0</v>
      </c>
      <c r="I77" s="765">
        <v>0</v>
      </c>
      <c r="J77" s="315"/>
    </row>
    <row r="78" spans="1:10">
      <c r="A78" s="606" t="str">
        <f>'Initial data collection sheet'!A249</f>
        <v>Triticale</v>
      </c>
      <c r="B78" s="604">
        <f>'Initial data collection sheet'!H249</f>
        <v>0</v>
      </c>
      <c r="C78" s="604">
        <f>'Initial data collection sheet'!I249</f>
        <v>0</v>
      </c>
      <c r="D78" s="607">
        <f>'Initial data collection sheet'!H249*'Initial data collection sheet'!N249</f>
        <v>0</v>
      </c>
      <c r="E78" s="607">
        <f>'Initial data collection sheet'!H249*'Initial data collection sheet'!O249</f>
        <v>0</v>
      </c>
      <c r="F78" s="607">
        <f>'Initial data collection sheet'!H249*'Initial data collection sheet'!P249</f>
        <v>0</v>
      </c>
      <c r="G78" s="608">
        <v>0</v>
      </c>
      <c r="H78" s="608">
        <v>0</v>
      </c>
      <c r="I78" s="765">
        <v>0</v>
      </c>
      <c r="J78" s="315"/>
    </row>
    <row r="79" spans="1:10">
      <c r="A79" s="606" t="str">
        <f>'Initial data collection sheet'!A250</f>
        <v>Peas</v>
      </c>
      <c r="B79" s="604">
        <f>'Initial data collection sheet'!H250</f>
        <v>0</v>
      </c>
      <c r="C79" s="604">
        <f>'Initial data collection sheet'!I250</f>
        <v>0</v>
      </c>
      <c r="D79" s="607">
        <f>'Initial data collection sheet'!H250*'Initial data collection sheet'!N250</f>
        <v>0</v>
      </c>
      <c r="E79" s="607">
        <f>'Initial data collection sheet'!H250*'Initial data collection sheet'!O250</f>
        <v>0</v>
      </c>
      <c r="F79" s="607">
        <f>'Initial data collection sheet'!H250*'Initial data collection sheet'!P250</f>
        <v>0</v>
      </c>
      <c r="G79" s="608">
        <v>0</v>
      </c>
      <c r="H79" s="608">
        <v>0</v>
      </c>
      <c r="I79" s="765">
        <v>0</v>
      </c>
      <c r="J79" s="315"/>
    </row>
    <row r="80" spans="1:10">
      <c r="A80" s="606" t="str">
        <f>'Initial data collection sheet'!A251</f>
        <v>Field beans</v>
      </c>
      <c r="B80" s="604">
        <f>'Initial data collection sheet'!H251</f>
        <v>0</v>
      </c>
      <c r="C80" s="604">
        <f>'Initial data collection sheet'!I251</f>
        <v>0</v>
      </c>
      <c r="D80" s="607">
        <f>'Initial data collection sheet'!H251*'Initial data collection sheet'!N251</f>
        <v>0</v>
      </c>
      <c r="E80" s="607">
        <f>'Initial data collection sheet'!H251*'Initial data collection sheet'!O251</f>
        <v>0</v>
      </c>
      <c r="F80" s="607">
        <f>'Initial data collection sheet'!H251*'Initial data collection sheet'!P251</f>
        <v>0</v>
      </c>
      <c r="G80" s="608">
        <v>0</v>
      </c>
      <c r="H80" s="608">
        <v>0</v>
      </c>
      <c r="I80" s="765">
        <v>0</v>
      </c>
      <c r="J80" s="315"/>
    </row>
    <row r="81" spans="1:10">
      <c r="A81" s="606" t="str">
        <f>'Initial data collection sheet'!A252</f>
        <v>Grass/clover</v>
      </c>
      <c r="B81" s="604">
        <f>'Initial data collection sheet'!H252</f>
        <v>0</v>
      </c>
      <c r="C81" s="604">
        <f>'Initial data collection sheet'!I252</f>
        <v>0</v>
      </c>
      <c r="D81" s="607">
        <f>'Initial data collection sheet'!H252*'Initial data collection sheet'!N252</f>
        <v>0</v>
      </c>
      <c r="E81" s="607">
        <f>'Initial data collection sheet'!H252*'Initial data collection sheet'!O252</f>
        <v>0</v>
      </c>
      <c r="F81" s="607">
        <f>'Initial data collection sheet'!H252*'Initial data collection sheet'!P252</f>
        <v>0</v>
      </c>
      <c r="G81" s="608">
        <v>0</v>
      </c>
      <c r="H81" s="608">
        <v>0</v>
      </c>
      <c r="I81" s="765">
        <v>0</v>
      </c>
      <c r="J81" s="315"/>
    </row>
    <row r="82" spans="1:10">
      <c r="A82" s="606" t="str">
        <f>'Initial data collection sheet'!A253</f>
        <v>Potatoes</v>
      </c>
      <c r="B82" s="604">
        <f>'Initial data collection sheet'!H253</f>
        <v>0</v>
      </c>
      <c r="C82" s="604">
        <f>'Initial data collection sheet'!I253</f>
        <v>0</v>
      </c>
      <c r="D82" s="607">
        <f>'Initial data collection sheet'!H253*'Initial data collection sheet'!N253</f>
        <v>0</v>
      </c>
      <c r="E82" s="607">
        <f>'Initial data collection sheet'!H253*'Initial data collection sheet'!O253</f>
        <v>0</v>
      </c>
      <c r="F82" s="607">
        <f>'Initial data collection sheet'!H253*'Initial data collection sheet'!P253</f>
        <v>0</v>
      </c>
      <c r="G82" s="608">
        <v>0</v>
      </c>
      <c r="H82" s="608">
        <v>0</v>
      </c>
      <c r="I82" s="765">
        <v>0</v>
      </c>
      <c r="J82" s="315"/>
    </row>
    <row r="83" spans="1:10">
      <c r="A83" s="606" t="str">
        <f>'Initial data collection sheet'!A254</f>
        <v>Vegetable seeds</v>
      </c>
      <c r="B83" s="604">
        <f>'Initial data collection sheet'!H254</f>
        <v>0</v>
      </c>
      <c r="C83" s="604">
        <f>'Initial data collection sheet'!I254</f>
        <v>0</v>
      </c>
      <c r="D83" s="607">
        <f>'Initial data collection sheet'!H254*'Initial data collection sheet'!N254</f>
        <v>0</v>
      </c>
      <c r="E83" s="607">
        <f>'Initial data collection sheet'!H254*'Initial data collection sheet'!O254</f>
        <v>0</v>
      </c>
      <c r="F83" s="607">
        <f>'Initial data collection sheet'!H254*'Initial data collection sheet'!P254</f>
        <v>0</v>
      </c>
      <c r="G83" s="608">
        <v>0</v>
      </c>
      <c r="H83" s="608">
        <v>0</v>
      </c>
      <c r="I83" s="765">
        <v>0</v>
      </c>
      <c r="J83" s="315"/>
    </row>
    <row r="84" spans="1:10">
      <c r="A84" s="606" t="str">
        <f>'Initial data collection sheet'!A255</f>
        <v>Onion sets</v>
      </c>
      <c r="B84" s="604">
        <f>'Initial data collection sheet'!H255</f>
        <v>0</v>
      </c>
      <c r="C84" s="604">
        <f>'Initial data collection sheet'!I255</f>
        <v>0</v>
      </c>
      <c r="D84" s="607">
        <f>'Initial data collection sheet'!H255*'Initial data collection sheet'!N255</f>
        <v>0</v>
      </c>
      <c r="E84" s="607">
        <f>'Initial data collection sheet'!H255*'Initial data collection sheet'!O255</f>
        <v>0</v>
      </c>
      <c r="F84" s="607">
        <f>'Initial data collection sheet'!H255*'Initial data collection sheet'!P255</f>
        <v>0</v>
      </c>
      <c r="G84" s="608">
        <v>0</v>
      </c>
      <c r="H84" s="608">
        <v>0</v>
      </c>
      <c r="I84" s="765">
        <v>0</v>
      </c>
      <c r="J84" s="315"/>
    </row>
    <row r="85" spans="1:10">
      <c r="A85" s="606" t="str">
        <f>'Initial data collection sheet'!A256</f>
        <v>Forage/green manure/leys</v>
      </c>
      <c r="B85" s="604">
        <f>'Initial data collection sheet'!H256</f>
        <v>0</v>
      </c>
      <c r="C85" s="604">
        <f>'Initial data collection sheet'!I256</f>
        <v>0</v>
      </c>
      <c r="D85" s="607">
        <f>'Initial data collection sheet'!H256*'Initial data collection sheet'!N256</f>
        <v>0</v>
      </c>
      <c r="E85" s="607">
        <f>'Initial data collection sheet'!H256*'Initial data collection sheet'!O256</f>
        <v>0</v>
      </c>
      <c r="F85" s="607">
        <f>'Initial data collection sheet'!H256*'Initial data collection sheet'!P256</f>
        <v>0</v>
      </c>
      <c r="G85" s="608">
        <v>0</v>
      </c>
      <c r="H85" s="608">
        <v>0</v>
      </c>
      <c r="I85" s="765">
        <v>0</v>
      </c>
      <c r="J85" s="315"/>
    </row>
    <row r="86" spans="1:10">
      <c r="A86" s="606" t="str">
        <f>'Initial data collection sheet'!A257</f>
        <v>Other seeds</v>
      </c>
      <c r="B86" s="604">
        <f>'Initial data collection sheet'!H257</f>
        <v>0</v>
      </c>
      <c r="C86" s="604">
        <f>'Initial data collection sheet'!I257</f>
        <v>0</v>
      </c>
      <c r="D86" s="607">
        <f>'Initial data collection sheet'!H257*'Initial data collection sheet'!N257</f>
        <v>0</v>
      </c>
      <c r="E86" s="607">
        <f>'Initial data collection sheet'!H257*'Initial data collection sheet'!O257</f>
        <v>0</v>
      </c>
      <c r="F86" s="607">
        <f>'Initial data collection sheet'!H257*'Initial data collection sheet'!P257</f>
        <v>0</v>
      </c>
      <c r="G86" s="608">
        <v>0</v>
      </c>
      <c r="H86" s="608">
        <v>0</v>
      </c>
      <c r="I86" s="765">
        <v>0</v>
      </c>
      <c r="J86" s="315"/>
    </row>
    <row r="87" spans="1:10">
      <c r="A87" s="606"/>
      <c r="B87" s="604"/>
      <c r="C87" s="604"/>
      <c r="D87" s="607"/>
      <c r="E87" s="607"/>
      <c r="F87" s="607"/>
      <c r="G87" s="608"/>
      <c r="H87" s="608"/>
      <c r="I87" s="765"/>
      <c r="J87" s="315"/>
    </row>
    <row r="88" spans="1:10">
      <c r="A88" s="603" t="str">
        <f>'Initial data collection sheet'!A258</f>
        <v xml:space="preserve">Imported and exported animal feeds: forage </v>
      </c>
      <c r="B88" s="604"/>
      <c r="C88" s="604"/>
      <c r="D88" s="607"/>
      <c r="E88" s="607"/>
      <c r="F88" s="607"/>
      <c r="G88" s="608"/>
      <c r="H88" s="608"/>
      <c r="I88" s="765"/>
      <c r="J88" s="315"/>
    </row>
    <row r="89" spans="1:10">
      <c r="A89" s="606" t="str">
        <f>'Initial data collection sheet'!A259</f>
        <v>Hay</v>
      </c>
      <c r="B89" s="604">
        <f>'Initial data collection sheet'!H259</f>
        <v>0</v>
      </c>
      <c r="C89" s="604">
        <f>'Initial data collection sheet'!I259</f>
        <v>0</v>
      </c>
      <c r="D89" s="607">
        <f>'Initial data collection sheet'!H259*'Initial data collection sheet'!N259</f>
        <v>0</v>
      </c>
      <c r="E89" s="607">
        <f>'Initial data collection sheet'!H259*'Initial data collection sheet'!O259</f>
        <v>0</v>
      </c>
      <c r="F89" s="607">
        <f>'Initial data collection sheet'!H259*'Initial data collection sheet'!P259</f>
        <v>0</v>
      </c>
      <c r="G89" s="608">
        <f>'Initial data collection sheet'!I259*'Initial data collection sheet'!N259</f>
        <v>0</v>
      </c>
      <c r="H89" s="608">
        <f>'Initial data collection sheet'!I259*'Initial data collection sheet'!O259</f>
        <v>0</v>
      </c>
      <c r="I89" s="765">
        <f>'Initial data collection sheet'!I259*'Initial data collection sheet'!P259</f>
        <v>0</v>
      </c>
      <c r="J89" s="315"/>
    </row>
    <row r="90" spans="1:10">
      <c r="A90" s="606" t="str">
        <f>'Initial data collection sheet'!A260</f>
        <v>Dried grass</v>
      </c>
      <c r="B90" s="604">
        <f>'Initial data collection sheet'!H260</f>
        <v>0</v>
      </c>
      <c r="C90" s="604">
        <f>'Initial data collection sheet'!I260</f>
        <v>0</v>
      </c>
      <c r="D90" s="607">
        <f>'Initial data collection sheet'!H260*'Initial data collection sheet'!N260</f>
        <v>0</v>
      </c>
      <c r="E90" s="607">
        <f>'Initial data collection sheet'!H260*'Initial data collection sheet'!O260</f>
        <v>0</v>
      </c>
      <c r="F90" s="607">
        <f>'Initial data collection sheet'!H260*'Initial data collection sheet'!P260</f>
        <v>0</v>
      </c>
      <c r="G90" s="608">
        <f>'Initial data collection sheet'!I260*'Initial data collection sheet'!N260</f>
        <v>0</v>
      </c>
      <c r="H90" s="608">
        <f>'Initial data collection sheet'!I260*'Initial data collection sheet'!O260</f>
        <v>0</v>
      </c>
      <c r="I90" s="765">
        <f>'Initial data collection sheet'!I260*'Initial data collection sheet'!P260</f>
        <v>0</v>
      </c>
      <c r="J90" s="315"/>
    </row>
    <row r="91" spans="1:10">
      <c r="A91" s="606" t="str">
        <f>'Initial data collection sheet'!A261</f>
        <v>Grass and clover silage</v>
      </c>
      <c r="B91" s="604">
        <f>'Initial data collection sheet'!H261</f>
        <v>0</v>
      </c>
      <c r="C91" s="604">
        <f>'Initial data collection sheet'!I261</f>
        <v>0</v>
      </c>
      <c r="D91" s="607">
        <f>'Initial data collection sheet'!H261*'Initial data collection sheet'!N261</f>
        <v>0</v>
      </c>
      <c r="E91" s="607">
        <f>'Initial data collection sheet'!H261*'Initial data collection sheet'!O261</f>
        <v>0</v>
      </c>
      <c r="F91" s="607">
        <f>'Initial data collection sheet'!H261*'Initial data collection sheet'!P261</f>
        <v>0</v>
      </c>
      <c r="G91" s="608">
        <f>'Initial data collection sheet'!I261*'Initial data collection sheet'!N261</f>
        <v>0</v>
      </c>
      <c r="H91" s="608">
        <f>'Initial data collection sheet'!I261*'Initial data collection sheet'!O261</f>
        <v>0</v>
      </c>
      <c r="I91" s="765">
        <f>'Initial data collection sheet'!I261*'Initial data collection sheet'!P261</f>
        <v>0</v>
      </c>
      <c r="J91" s="315"/>
    </row>
    <row r="92" spans="1:10">
      <c r="A92" s="606" t="str">
        <f>'Initial data collection sheet'!A262</f>
        <v>Grass silage</v>
      </c>
      <c r="B92" s="604">
        <f>'Initial data collection sheet'!H262</f>
        <v>0</v>
      </c>
      <c r="C92" s="604">
        <f>'Initial data collection sheet'!I262</f>
        <v>0</v>
      </c>
      <c r="D92" s="607">
        <f>'Initial data collection sheet'!H262*'Initial data collection sheet'!N262</f>
        <v>0</v>
      </c>
      <c r="E92" s="607">
        <f>'Initial data collection sheet'!H262*'Initial data collection sheet'!O262</f>
        <v>0</v>
      </c>
      <c r="F92" s="607">
        <f>'Initial data collection sheet'!H262*'Initial data collection sheet'!P262</f>
        <v>0</v>
      </c>
      <c r="G92" s="608">
        <f>'Initial data collection sheet'!I262*'Initial data collection sheet'!N262</f>
        <v>0</v>
      </c>
      <c r="H92" s="608">
        <f>'Initial data collection sheet'!I262*'Initial data collection sheet'!O262</f>
        <v>0</v>
      </c>
      <c r="I92" s="765">
        <f>'Initial data collection sheet'!I262*'Initial data collection sheet'!P262</f>
        <v>0</v>
      </c>
      <c r="J92" s="315"/>
    </row>
    <row r="93" spans="1:10">
      <c r="A93" s="606" t="str">
        <f>'Initial data collection sheet'!A263</f>
        <v>Clover silage</v>
      </c>
      <c r="B93" s="604">
        <f>'Initial data collection sheet'!H263</f>
        <v>0</v>
      </c>
      <c r="C93" s="604">
        <f>'Initial data collection sheet'!I263</f>
        <v>0</v>
      </c>
      <c r="D93" s="607">
        <f>'Initial data collection sheet'!H263*'Initial data collection sheet'!N263</f>
        <v>0</v>
      </c>
      <c r="E93" s="607">
        <f>'Initial data collection sheet'!H263*'Initial data collection sheet'!O263</f>
        <v>0</v>
      </c>
      <c r="F93" s="607">
        <f>'Initial data collection sheet'!H263*'Initial data collection sheet'!P263</f>
        <v>0</v>
      </c>
      <c r="G93" s="608">
        <f>'Initial data collection sheet'!I263*'Initial data collection sheet'!N263</f>
        <v>0</v>
      </c>
      <c r="H93" s="608">
        <f>'Initial data collection sheet'!I263*'Initial data collection sheet'!O263</f>
        <v>0</v>
      </c>
      <c r="I93" s="765">
        <f>'Initial data collection sheet'!I263*'Initial data collection sheet'!P263</f>
        <v>0</v>
      </c>
      <c r="J93" s="315"/>
    </row>
    <row r="94" spans="1:10">
      <c r="A94" s="606" t="str">
        <f>'Initial data collection sheet'!A264</f>
        <v>Lucerne silage</v>
      </c>
      <c r="B94" s="604">
        <f>'Initial data collection sheet'!H264</f>
        <v>0</v>
      </c>
      <c r="C94" s="604">
        <f>'Initial data collection sheet'!I264</f>
        <v>0</v>
      </c>
      <c r="D94" s="607">
        <f>'Initial data collection sheet'!H264*'Initial data collection sheet'!N264</f>
        <v>0</v>
      </c>
      <c r="E94" s="607">
        <f>'Initial data collection sheet'!H264*'Initial data collection sheet'!O264</f>
        <v>0</v>
      </c>
      <c r="F94" s="607">
        <f>'Initial data collection sheet'!H264*'Initial data collection sheet'!P264</f>
        <v>0</v>
      </c>
      <c r="G94" s="608">
        <f>'Initial data collection sheet'!I264*'Initial data collection sheet'!N264</f>
        <v>0</v>
      </c>
      <c r="H94" s="608">
        <f>'Initial data collection sheet'!I264*'Initial data collection sheet'!O264</f>
        <v>0</v>
      </c>
      <c r="I94" s="765">
        <f>'Initial data collection sheet'!I264*'Initial data collection sheet'!P264</f>
        <v>0</v>
      </c>
      <c r="J94" s="315"/>
    </row>
    <row r="95" spans="1:10">
      <c r="A95" s="606" t="str">
        <f>'Initial data collection sheet'!A265</f>
        <v>Whole crop - cereal</v>
      </c>
      <c r="B95" s="604">
        <f>'Initial data collection sheet'!H265</f>
        <v>0</v>
      </c>
      <c r="C95" s="604">
        <f>'Initial data collection sheet'!I265</f>
        <v>0</v>
      </c>
      <c r="D95" s="607">
        <f>'Initial data collection sheet'!H265*'Initial data collection sheet'!N265</f>
        <v>0</v>
      </c>
      <c r="E95" s="607">
        <f>'Initial data collection sheet'!H265*'Initial data collection sheet'!O265</f>
        <v>0</v>
      </c>
      <c r="F95" s="607">
        <f>'Initial data collection sheet'!H265*'Initial data collection sheet'!P265</f>
        <v>0</v>
      </c>
      <c r="G95" s="608">
        <f>'Initial data collection sheet'!I265*'Initial data collection sheet'!N265</f>
        <v>0</v>
      </c>
      <c r="H95" s="608">
        <f>'Initial data collection sheet'!I265*'Initial data collection sheet'!O265</f>
        <v>0</v>
      </c>
      <c r="I95" s="765">
        <f>'Initial data collection sheet'!I265*'Initial data collection sheet'!P265</f>
        <v>0</v>
      </c>
      <c r="J95" s="315"/>
    </row>
    <row r="96" spans="1:10">
      <c r="A96" s="606" t="str">
        <f>'Initial data collection sheet'!A266</f>
        <v>Whole crop - pulse</v>
      </c>
      <c r="B96" s="604">
        <f>'Initial data collection sheet'!H266</f>
        <v>0</v>
      </c>
      <c r="C96" s="604">
        <f>'Initial data collection sheet'!I266</f>
        <v>0</v>
      </c>
      <c r="D96" s="607">
        <f>'Initial data collection sheet'!H266*'Initial data collection sheet'!N266</f>
        <v>0</v>
      </c>
      <c r="E96" s="607">
        <f>'Initial data collection sheet'!H266*'Initial data collection sheet'!O266</f>
        <v>0</v>
      </c>
      <c r="F96" s="607">
        <f>'Initial data collection sheet'!H266*'Initial data collection sheet'!P266</f>
        <v>0</v>
      </c>
      <c r="G96" s="608">
        <f>'Initial data collection sheet'!I266*'Initial data collection sheet'!N266</f>
        <v>0</v>
      </c>
      <c r="H96" s="608">
        <f>'Initial data collection sheet'!I266*'Initial data collection sheet'!O266</f>
        <v>0</v>
      </c>
      <c r="I96" s="765">
        <f>'Initial data collection sheet'!I266*'Initial data collection sheet'!P266</f>
        <v>0</v>
      </c>
      <c r="J96" s="315"/>
    </row>
    <row r="97" spans="1:10">
      <c r="A97" s="606" t="str">
        <f>'Initial data collection sheet'!A267</f>
        <v>Whole crop - cereal/pulse</v>
      </c>
      <c r="B97" s="604">
        <f>'Initial data collection sheet'!H267</f>
        <v>0</v>
      </c>
      <c r="C97" s="604">
        <f>'Initial data collection sheet'!I267</f>
        <v>0</v>
      </c>
      <c r="D97" s="607">
        <f>'Initial data collection sheet'!H267*'Initial data collection sheet'!N267</f>
        <v>0</v>
      </c>
      <c r="E97" s="607">
        <f>'Initial data collection sheet'!H267*'Initial data collection sheet'!O267</f>
        <v>0</v>
      </c>
      <c r="F97" s="607">
        <f>'Initial data collection sheet'!H267*'Initial data collection sheet'!P267</f>
        <v>0</v>
      </c>
      <c r="G97" s="608">
        <f>'Initial data collection sheet'!I267*'Initial data collection sheet'!N267</f>
        <v>0</v>
      </c>
      <c r="H97" s="608">
        <f>'Initial data collection sheet'!I267*'Initial data collection sheet'!O267</f>
        <v>0</v>
      </c>
      <c r="I97" s="765">
        <f>'Initial data collection sheet'!I267*'Initial data collection sheet'!P267</f>
        <v>0</v>
      </c>
      <c r="J97" s="315"/>
    </row>
    <row r="98" spans="1:10">
      <c r="A98" s="606" t="str">
        <f>'Initial data collection sheet'!A268</f>
        <v>Maize silage</v>
      </c>
      <c r="B98" s="604">
        <f>'Initial data collection sheet'!H268</f>
        <v>0</v>
      </c>
      <c r="C98" s="604">
        <f>'Initial data collection sheet'!I268</f>
        <v>0</v>
      </c>
      <c r="D98" s="607">
        <f>'Initial data collection sheet'!H268*'Initial data collection sheet'!N268</f>
        <v>0</v>
      </c>
      <c r="E98" s="607">
        <f>'Initial data collection sheet'!H268*'Initial data collection sheet'!O268</f>
        <v>0</v>
      </c>
      <c r="F98" s="607">
        <f>'Initial data collection sheet'!H268*'Initial data collection sheet'!P268</f>
        <v>0</v>
      </c>
      <c r="G98" s="608">
        <f>'Initial data collection sheet'!I268*'Initial data collection sheet'!N268</f>
        <v>0</v>
      </c>
      <c r="H98" s="608">
        <f>'Initial data collection sheet'!I268*'Initial data collection sheet'!O268</f>
        <v>0</v>
      </c>
      <c r="I98" s="765">
        <f>'Initial data collection sheet'!I268*'Initial data collection sheet'!P268</f>
        <v>0</v>
      </c>
      <c r="J98" s="315"/>
    </row>
    <row r="99" spans="1:10">
      <c r="A99" s="603" t="str">
        <f>'Initial data collection sheet'!A269</f>
        <v>Imported animal feeds - arable crops/straights</v>
      </c>
      <c r="B99" s="604"/>
      <c r="C99" s="604"/>
      <c r="D99" s="607"/>
      <c r="E99" s="607"/>
      <c r="F99" s="607"/>
      <c r="G99" s="608"/>
      <c r="H99" s="608"/>
      <c r="I99" s="765"/>
      <c r="J99" s="315"/>
    </row>
    <row r="100" spans="1:10">
      <c r="A100" s="606" t="str">
        <f>'Initial data collection sheet'!A270</f>
        <v xml:space="preserve">Wheat </v>
      </c>
      <c r="B100" s="604">
        <f>'Initial data collection sheet'!H270</f>
        <v>0</v>
      </c>
      <c r="C100" s="604">
        <f>'Initial data collection sheet'!I270</f>
        <v>0</v>
      </c>
      <c r="D100" s="607">
        <f>'Initial data collection sheet'!H270*'Initial data collection sheet'!N270</f>
        <v>0</v>
      </c>
      <c r="E100" s="607">
        <f>'Initial data collection sheet'!H270*'Initial data collection sheet'!O270</f>
        <v>0</v>
      </c>
      <c r="F100" s="607">
        <f>'Initial data collection sheet'!H270*'Initial data collection sheet'!P270</f>
        <v>0</v>
      </c>
      <c r="G100" s="608">
        <v>0</v>
      </c>
      <c r="H100" s="608">
        <v>0</v>
      </c>
      <c r="I100" s="765">
        <v>0</v>
      </c>
      <c r="J100" s="315"/>
    </row>
    <row r="101" spans="1:10">
      <c r="A101" s="606" t="str">
        <f>'Initial data collection sheet'!A271</f>
        <v>Barley</v>
      </c>
      <c r="B101" s="604">
        <f>'Initial data collection sheet'!H271</f>
        <v>0</v>
      </c>
      <c r="C101" s="604">
        <f>'Initial data collection sheet'!I271</f>
        <v>0</v>
      </c>
      <c r="D101" s="607">
        <f>'Initial data collection sheet'!H271*'Initial data collection sheet'!N271</f>
        <v>0</v>
      </c>
      <c r="E101" s="607">
        <f>'Initial data collection sheet'!H271*'Initial data collection sheet'!O271</f>
        <v>0</v>
      </c>
      <c r="F101" s="607">
        <f>'Initial data collection sheet'!H271*'Initial data collection sheet'!P271</f>
        <v>0</v>
      </c>
      <c r="G101" s="608">
        <v>0</v>
      </c>
      <c r="H101" s="608">
        <v>0</v>
      </c>
      <c r="I101" s="765">
        <v>0</v>
      </c>
      <c r="J101" s="315"/>
    </row>
    <row r="102" spans="1:10">
      <c r="A102" s="606" t="str">
        <f>'Initial data collection sheet'!A272</f>
        <v>Oats</v>
      </c>
      <c r="B102" s="604">
        <f>'Initial data collection sheet'!H272</f>
        <v>0</v>
      </c>
      <c r="C102" s="604">
        <f>'Initial data collection sheet'!I272</f>
        <v>0</v>
      </c>
      <c r="D102" s="607">
        <f>'Initial data collection sheet'!H272*'Initial data collection sheet'!N272</f>
        <v>0</v>
      </c>
      <c r="E102" s="607">
        <f>'Initial data collection sheet'!H272*'Initial data collection sheet'!O272</f>
        <v>0</v>
      </c>
      <c r="F102" s="607">
        <f>'Initial data collection sheet'!H272*'Initial data collection sheet'!P272</f>
        <v>0</v>
      </c>
      <c r="G102" s="608">
        <v>0</v>
      </c>
      <c r="H102" s="608">
        <v>0</v>
      </c>
      <c r="I102" s="765">
        <v>0</v>
      </c>
      <c r="J102" s="315"/>
    </row>
    <row r="103" spans="1:10">
      <c r="A103" s="606" t="str">
        <f>'Initial data collection sheet'!A273</f>
        <v>Triticale</v>
      </c>
      <c r="B103" s="604">
        <f>'Initial data collection sheet'!H273</f>
        <v>0</v>
      </c>
      <c r="C103" s="604">
        <f>'Initial data collection sheet'!I273</f>
        <v>0</v>
      </c>
      <c r="D103" s="607">
        <f>'Initial data collection sheet'!H273*'Initial data collection sheet'!N273</f>
        <v>0</v>
      </c>
      <c r="E103" s="607">
        <f>'Initial data collection sheet'!H273*'Initial data collection sheet'!O273</f>
        <v>0</v>
      </c>
      <c r="F103" s="607">
        <f>'Initial data collection sheet'!H273*'Initial data collection sheet'!P273</f>
        <v>0</v>
      </c>
      <c r="G103" s="608">
        <v>0</v>
      </c>
      <c r="H103" s="608">
        <v>0</v>
      </c>
      <c r="I103" s="765">
        <v>0</v>
      </c>
      <c r="J103" s="315"/>
    </row>
    <row r="104" spans="1:10">
      <c r="A104" s="606" t="str">
        <f>'Initial data collection sheet'!A274</f>
        <v>Rye</v>
      </c>
      <c r="B104" s="604">
        <f>'Initial data collection sheet'!H274</f>
        <v>0</v>
      </c>
      <c r="C104" s="604">
        <f>'Initial data collection sheet'!I274</f>
        <v>0</v>
      </c>
      <c r="D104" s="607">
        <f>'Initial data collection sheet'!H274*'Initial data collection sheet'!N274</f>
        <v>0</v>
      </c>
      <c r="E104" s="607">
        <f>'Initial data collection sheet'!H274*'Initial data collection sheet'!O274</f>
        <v>0</v>
      </c>
      <c r="F104" s="607">
        <f>'Initial data collection sheet'!H274*'Initial data collection sheet'!P274</f>
        <v>0</v>
      </c>
      <c r="G104" s="608">
        <v>0</v>
      </c>
      <c r="H104" s="608">
        <v>0</v>
      </c>
      <c r="I104" s="765">
        <v>0</v>
      </c>
      <c r="J104" s="315"/>
    </row>
    <row r="105" spans="1:10">
      <c r="A105" s="606" t="str">
        <f>'Initial data collection sheet'!A275</f>
        <v>Mixed cereals/grain</v>
      </c>
      <c r="B105" s="604">
        <f>'Initial data collection sheet'!H275</f>
        <v>0</v>
      </c>
      <c r="C105" s="604">
        <f>'Initial data collection sheet'!I275</f>
        <v>0</v>
      </c>
      <c r="D105" s="607">
        <f>'Initial data collection sheet'!H275*'Initial data collection sheet'!N275</f>
        <v>0</v>
      </c>
      <c r="E105" s="607">
        <f>'Initial data collection sheet'!H275*'Initial data collection sheet'!O275</f>
        <v>0</v>
      </c>
      <c r="F105" s="607">
        <f>'Initial data collection sheet'!H275*'Initial data collection sheet'!P275</f>
        <v>0</v>
      </c>
      <c r="G105" s="608">
        <v>0</v>
      </c>
      <c r="H105" s="608">
        <v>0</v>
      </c>
      <c r="I105" s="765">
        <v>0</v>
      </c>
      <c r="J105" s="315"/>
    </row>
    <row r="106" spans="1:10">
      <c r="A106" s="606" t="str">
        <f>'Initial data collection sheet'!A276</f>
        <v>Peas - dry</v>
      </c>
      <c r="B106" s="604">
        <f>'Initial data collection sheet'!H276</f>
        <v>0</v>
      </c>
      <c r="C106" s="604">
        <f>'Initial data collection sheet'!I276</f>
        <v>0</v>
      </c>
      <c r="D106" s="607">
        <f>'Initial data collection sheet'!H276*'Initial data collection sheet'!N276</f>
        <v>0</v>
      </c>
      <c r="E106" s="607">
        <f>'Initial data collection sheet'!H276*'Initial data collection sheet'!O276</f>
        <v>0</v>
      </c>
      <c r="F106" s="607">
        <f>'Initial data collection sheet'!H276*'Initial data collection sheet'!P276</f>
        <v>0</v>
      </c>
      <c r="G106" s="608">
        <v>0</v>
      </c>
      <c r="H106" s="608">
        <v>0</v>
      </c>
      <c r="I106" s="765">
        <v>0</v>
      </c>
      <c r="J106" s="315"/>
    </row>
    <row r="107" spans="1:10">
      <c r="A107" s="606" t="str">
        <f>'Initial data collection sheet'!A277</f>
        <v>Field beans</v>
      </c>
      <c r="B107" s="604">
        <f>'Initial data collection sheet'!H277</f>
        <v>0</v>
      </c>
      <c r="C107" s="604">
        <f>'Initial data collection sheet'!I277</f>
        <v>0</v>
      </c>
      <c r="D107" s="607">
        <f>'Initial data collection sheet'!H277*'Initial data collection sheet'!N277</f>
        <v>0</v>
      </c>
      <c r="E107" s="607">
        <f>'Initial data collection sheet'!H277*'Initial data collection sheet'!O277</f>
        <v>0</v>
      </c>
      <c r="F107" s="607">
        <f>'Initial data collection sheet'!H277*'Initial data collection sheet'!P277</f>
        <v>0</v>
      </c>
      <c r="G107" s="608">
        <v>0</v>
      </c>
      <c r="H107" s="608">
        <v>0</v>
      </c>
      <c r="I107" s="765">
        <v>0</v>
      </c>
      <c r="J107" s="315"/>
    </row>
    <row r="108" spans="1:10">
      <c r="A108" s="606" t="str">
        <f>'Initial data collection sheet'!A278</f>
        <v>Fodder beet</v>
      </c>
      <c r="B108" s="604">
        <f>'Initial data collection sheet'!H278</f>
        <v>0</v>
      </c>
      <c r="C108" s="604">
        <f>'Initial data collection sheet'!I278</f>
        <v>0</v>
      </c>
      <c r="D108" s="607">
        <f>'Initial data collection sheet'!H278*'Initial data collection sheet'!N278</f>
        <v>0</v>
      </c>
      <c r="E108" s="607">
        <f>'Initial data collection sheet'!H278*'Initial data collection sheet'!O278</f>
        <v>0</v>
      </c>
      <c r="F108" s="607">
        <f>'Initial data collection sheet'!H278*'Initial data collection sheet'!P278</f>
        <v>0</v>
      </c>
      <c r="G108" s="608">
        <v>0</v>
      </c>
      <c r="H108" s="608">
        <v>0</v>
      </c>
      <c r="I108" s="765">
        <v>0</v>
      </c>
      <c r="J108" s="315"/>
    </row>
    <row r="109" spans="1:10">
      <c r="A109" s="606" t="str">
        <f>'Initial data collection sheet'!A279</f>
        <v>Sugar beet</v>
      </c>
      <c r="B109" s="604">
        <f>'Initial data collection sheet'!H279</f>
        <v>0</v>
      </c>
      <c r="C109" s="604">
        <f>'Initial data collection sheet'!I279</f>
        <v>0</v>
      </c>
      <c r="D109" s="607">
        <f>'Initial data collection sheet'!H279*'Initial data collection sheet'!N279</f>
        <v>0</v>
      </c>
      <c r="E109" s="607">
        <f>'Initial data collection sheet'!H279*'Initial data collection sheet'!O279</f>
        <v>0</v>
      </c>
      <c r="F109" s="607">
        <f>'Initial data collection sheet'!H279*'Initial data collection sheet'!P279</f>
        <v>0</v>
      </c>
      <c r="G109" s="608">
        <v>0</v>
      </c>
      <c r="H109" s="608">
        <v>0</v>
      </c>
      <c r="I109" s="765">
        <v>0</v>
      </c>
      <c r="J109" s="315"/>
    </row>
    <row r="110" spans="1:10">
      <c r="A110" s="606" t="str">
        <f>'Initial data collection sheet'!A280</f>
        <v>Potatoes</v>
      </c>
      <c r="B110" s="604">
        <f>'Initial data collection sheet'!H280</f>
        <v>0</v>
      </c>
      <c r="C110" s="604">
        <f>'Initial data collection sheet'!I280</f>
        <v>0</v>
      </c>
      <c r="D110" s="607">
        <f>'Initial data collection sheet'!H280*'Initial data collection sheet'!N280</f>
        <v>0</v>
      </c>
      <c r="E110" s="607">
        <f>'Initial data collection sheet'!H280*'Initial data collection sheet'!O280</f>
        <v>0</v>
      </c>
      <c r="F110" s="607">
        <f>'Initial data collection sheet'!H280*'Initial data collection sheet'!P280</f>
        <v>0</v>
      </c>
      <c r="G110" s="608">
        <v>0</v>
      </c>
      <c r="H110" s="608">
        <v>0</v>
      </c>
      <c r="I110" s="765">
        <v>0</v>
      </c>
      <c r="J110" s="315"/>
    </row>
    <row r="111" spans="1:10">
      <c r="A111" s="603" t="str">
        <f>'Initial data collection sheet'!A281</f>
        <v>Imported animal feeds - compound</v>
      </c>
      <c r="B111" s="604"/>
      <c r="C111" s="604"/>
      <c r="D111" s="607"/>
      <c r="E111" s="607"/>
      <c r="F111" s="607"/>
      <c r="G111" s="608"/>
      <c r="H111" s="608"/>
      <c r="I111" s="765"/>
      <c r="J111" s="315"/>
    </row>
    <row r="112" spans="1:10">
      <c r="A112" s="606" t="str">
        <f>'Initial data collection sheet'!A282</f>
        <v>Soya bean meal or cake</v>
      </c>
      <c r="B112" s="604">
        <f>'Initial data collection sheet'!H282</f>
        <v>0</v>
      </c>
      <c r="C112" s="604">
        <f>'Initial data collection sheet'!I282</f>
        <v>0</v>
      </c>
      <c r="D112" s="607">
        <f>'Initial data collection sheet'!H282*'Initial data collection sheet'!N282</f>
        <v>0</v>
      </c>
      <c r="E112" s="607">
        <f>'Initial data collection sheet'!H282*'Initial data collection sheet'!O282</f>
        <v>0</v>
      </c>
      <c r="F112" s="607">
        <f>'Initial data collection sheet'!H282*'Initial data collection sheet'!P282</f>
        <v>0</v>
      </c>
      <c r="G112" s="608">
        <v>0</v>
      </c>
      <c r="H112" s="608">
        <v>0</v>
      </c>
      <c r="I112" s="765">
        <v>0</v>
      </c>
      <c r="J112" s="315"/>
    </row>
    <row r="113" spans="1:10">
      <c r="A113" s="606" t="str">
        <f>'Initial data collection sheet'!A283</f>
        <v>Rapeseed meal or cake</v>
      </c>
      <c r="B113" s="604">
        <f>'Initial data collection sheet'!H283</f>
        <v>0</v>
      </c>
      <c r="C113" s="604">
        <f>'Initial data collection sheet'!I283</f>
        <v>0</v>
      </c>
      <c r="D113" s="607">
        <f>'Initial data collection sheet'!H283*'Initial data collection sheet'!N283</f>
        <v>0</v>
      </c>
      <c r="E113" s="607">
        <f>'Initial data collection sheet'!H283*'Initial data collection sheet'!O283</f>
        <v>0</v>
      </c>
      <c r="F113" s="607">
        <f>'Initial data collection sheet'!H283*'Initial data collection sheet'!P283</f>
        <v>0</v>
      </c>
      <c r="G113" s="608">
        <v>0</v>
      </c>
      <c r="H113" s="608">
        <v>0</v>
      </c>
      <c r="I113" s="765">
        <v>0</v>
      </c>
      <c r="J113" s="315"/>
    </row>
    <row r="114" spans="1:10">
      <c r="A114" s="606" t="str">
        <f>'Initial data collection sheet'!A284</f>
        <v>Fishmeal</v>
      </c>
      <c r="B114" s="604">
        <f>'Initial data collection sheet'!H284</f>
        <v>0</v>
      </c>
      <c r="C114" s="604">
        <f>'Initial data collection sheet'!I284</f>
        <v>0</v>
      </c>
      <c r="D114" s="607">
        <f>'Initial data collection sheet'!H284*'Initial data collection sheet'!N284</f>
        <v>0</v>
      </c>
      <c r="E114" s="607">
        <f>'Initial data collection sheet'!H284*'Initial data collection sheet'!O284</f>
        <v>0</v>
      </c>
      <c r="F114" s="607">
        <f>'Initial data collection sheet'!H284*'Initial data collection sheet'!P284</f>
        <v>0</v>
      </c>
      <c r="G114" s="608">
        <v>0</v>
      </c>
      <c r="H114" s="608">
        <v>0</v>
      </c>
      <c r="I114" s="765">
        <v>0</v>
      </c>
      <c r="J114" s="315"/>
    </row>
    <row r="115" spans="1:10">
      <c r="A115" s="606" t="str">
        <f>'Initial data collection sheet'!A285</f>
        <v>Other compound cakes 18% protein</v>
      </c>
      <c r="B115" s="604">
        <f>'Initial data collection sheet'!H285</f>
        <v>0</v>
      </c>
      <c r="C115" s="604">
        <f>'Initial data collection sheet'!I285</f>
        <v>0</v>
      </c>
      <c r="D115" s="607">
        <f>'Initial data collection sheet'!H285*'Initial data collection sheet'!N285</f>
        <v>0</v>
      </c>
      <c r="E115" s="607">
        <f>'Initial data collection sheet'!H285*'Initial data collection sheet'!O285</f>
        <v>0</v>
      </c>
      <c r="F115" s="607">
        <f>'Initial data collection sheet'!H285*'Initial data collection sheet'!P285</f>
        <v>0</v>
      </c>
      <c r="G115" s="608">
        <v>0</v>
      </c>
      <c r="H115" s="608">
        <v>0</v>
      </c>
      <c r="I115" s="765">
        <v>0</v>
      </c>
      <c r="J115" s="315"/>
    </row>
    <row r="116" spans="1:10">
      <c r="A116" s="603" t="str">
        <f>'Initial data collection sheet'!A286</f>
        <v>Other imported animal feeds</v>
      </c>
      <c r="B116" s="604"/>
      <c r="C116" s="604"/>
      <c r="D116" s="607"/>
      <c r="E116" s="607"/>
      <c r="F116" s="607"/>
      <c r="G116" s="608"/>
      <c r="H116" s="608"/>
      <c r="I116" s="765"/>
      <c r="J116" s="315"/>
    </row>
    <row r="117" spans="1:10">
      <c r="A117" s="606" t="str">
        <f>'Initial data collection sheet'!A287</f>
        <v>Milk powder</v>
      </c>
      <c r="B117" s="604">
        <f>'Initial data collection sheet'!H287</f>
        <v>0</v>
      </c>
      <c r="C117" s="604">
        <f>'Initial data collection sheet'!I287</f>
        <v>0</v>
      </c>
      <c r="D117" s="607">
        <f>'Initial data collection sheet'!H287*'Initial data collection sheet'!N287</f>
        <v>0</v>
      </c>
      <c r="E117" s="607">
        <f>'Initial data collection sheet'!H287*'Initial data collection sheet'!O287</f>
        <v>0</v>
      </c>
      <c r="F117" s="607">
        <f>'Initial data collection sheet'!H287*'Initial data collection sheet'!P287</f>
        <v>0</v>
      </c>
      <c r="G117" s="608">
        <v>0</v>
      </c>
      <c r="H117" s="608">
        <v>0</v>
      </c>
      <c r="I117" s="765">
        <v>0</v>
      </c>
      <c r="J117" s="315"/>
    </row>
    <row r="118" spans="1:10">
      <c r="A118" s="606" t="str">
        <f>'Initial data collection sheet'!A288</f>
        <v>Bran and other offals of wheat</v>
      </c>
      <c r="B118" s="604">
        <f>'Initial data collection sheet'!H288</f>
        <v>0</v>
      </c>
      <c r="C118" s="604">
        <f>'Initial data collection sheet'!I288</f>
        <v>0</v>
      </c>
      <c r="D118" s="607">
        <f>'Initial data collection sheet'!H288*'Initial data collection sheet'!N288</f>
        <v>0</v>
      </c>
      <c r="E118" s="607">
        <f>'Initial data collection sheet'!H288*'Initial data collection sheet'!O288</f>
        <v>0</v>
      </c>
      <c r="F118" s="607">
        <f>'Initial data collection sheet'!H288*'Initial data collection sheet'!P288</f>
        <v>0</v>
      </c>
      <c r="G118" s="608">
        <v>0</v>
      </c>
      <c r="H118" s="608">
        <v>0</v>
      </c>
      <c r="I118" s="765">
        <v>0</v>
      </c>
      <c r="J118" s="315"/>
    </row>
    <row r="119" spans="1:10">
      <c r="A119" s="606" t="str">
        <f>'Initial data collection sheet'!A289</f>
        <v>Maize gluten (60%)</v>
      </c>
      <c r="B119" s="604">
        <f>'Initial data collection sheet'!H289</f>
        <v>0</v>
      </c>
      <c r="C119" s="604">
        <f>'Initial data collection sheet'!I289</f>
        <v>0</v>
      </c>
      <c r="D119" s="607">
        <f>'Initial data collection sheet'!H289*'Initial data collection sheet'!N289</f>
        <v>0</v>
      </c>
      <c r="E119" s="607">
        <f>'Initial data collection sheet'!H289*'Initial data collection sheet'!O289</f>
        <v>0</v>
      </c>
      <c r="F119" s="607">
        <f>'Initial data collection sheet'!H289*'Initial data collection sheet'!P289</f>
        <v>0</v>
      </c>
      <c r="G119" s="608">
        <v>0</v>
      </c>
      <c r="H119" s="608">
        <v>0</v>
      </c>
      <c r="I119" s="765">
        <v>0</v>
      </c>
      <c r="J119" s="315"/>
    </row>
    <row r="120" spans="1:10">
      <c r="A120" s="606" t="str">
        <f>'Initial data collection sheet'!A290</f>
        <v>Brewers and distillers grains (wet)</v>
      </c>
      <c r="B120" s="604">
        <f>'Initial data collection sheet'!H290</f>
        <v>0</v>
      </c>
      <c r="C120" s="604">
        <f>'Initial data collection sheet'!I290</f>
        <v>0</v>
      </c>
      <c r="D120" s="607">
        <f>'Initial data collection sheet'!H290*'Initial data collection sheet'!N290</f>
        <v>0</v>
      </c>
      <c r="E120" s="607">
        <f>'Initial data collection sheet'!H290*'Initial data collection sheet'!O290</f>
        <v>0</v>
      </c>
      <c r="F120" s="607">
        <f>'Initial data collection sheet'!H290*'Initial data collection sheet'!P290</f>
        <v>0</v>
      </c>
      <c r="G120" s="608">
        <v>0</v>
      </c>
      <c r="H120" s="608">
        <v>0</v>
      </c>
      <c r="I120" s="765">
        <v>0</v>
      </c>
      <c r="J120" s="315"/>
    </row>
    <row r="121" spans="1:10">
      <c r="A121" s="606" t="str">
        <f>'Initial data collection sheet'!A291</f>
        <v>Brewers and distillers grains (dry)</v>
      </c>
      <c r="B121" s="604">
        <f>'Initial data collection sheet'!H291</f>
        <v>0</v>
      </c>
      <c r="C121" s="604">
        <f>'Initial data collection sheet'!I291</f>
        <v>0</v>
      </c>
      <c r="D121" s="607">
        <f>'Initial data collection sheet'!H291*'Initial data collection sheet'!N291</f>
        <v>0</v>
      </c>
      <c r="E121" s="607">
        <f>'Initial data collection sheet'!H291*'Initial data collection sheet'!O291</f>
        <v>0</v>
      </c>
      <c r="F121" s="607">
        <f>'Initial data collection sheet'!H291*'Initial data collection sheet'!P291</f>
        <v>0</v>
      </c>
      <c r="G121" s="608">
        <v>0</v>
      </c>
      <c r="H121" s="608">
        <v>0</v>
      </c>
      <c r="I121" s="765">
        <v>0</v>
      </c>
      <c r="J121" s="315"/>
    </row>
    <row r="122" spans="1:10">
      <c r="A122" s="606" t="str">
        <f>'Initial data collection sheet'!A292</f>
        <v>Dried sugar beet pulp (molasses)</v>
      </c>
      <c r="B122" s="604">
        <f>'Initial data collection sheet'!H292</f>
        <v>0</v>
      </c>
      <c r="C122" s="604">
        <f>'Initial data collection sheet'!I292</f>
        <v>0</v>
      </c>
      <c r="D122" s="607">
        <f>'Initial data collection sheet'!H292*'Initial data collection sheet'!N292</f>
        <v>0</v>
      </c>
      <c r="E122" s="607">
        <f>'Initial data collection sheet'!H292*'Initial data collection sheet'!O292</f>
        <v>0</v>
      </c>
      <c r="F122" s="607">
        <f>'Initial data collection sheet'!H292*'Initial data collection sheet'!P292</f>
        <v>0</v>
      </c>
      <c r="G122" s="608">
        <v>0</v>
      </c>
      <c r="H122" s="608">
        <v>0</v>
      </c>
      <c r="I122" s="765">
        <v>0</v>
      </c>
      <c r="J122" s="315"/>
    </row>
    <row r="123" spans="1:10">
      <c r="A123" s="606" t="str">
        <f>'Initial data collection sheet'!A293</f>
        <v>Pot ale syrup</v>
      </c>
      <c r="B123" s="604">
        <f>'Initial data collection sheet'!H293</f>
        <v>0</v>
      </c>
      <c r="C123" s="604">
        <f>'Initial data collection sheet'!I293</f>
        <v>0</v>
      </c>
      <c r="D123" s="607">
        <f>'Initial data collection sheet'!H293*'Initial data collection sheet'!N293</f>
        <v>0</v>
      </c>
      <c r="E123" s="607">
        <f>'Initial data collection sheet'!H293*'Initial data collection sheet'!O293</f>
        <v>0</v>
      </c>
      <c r="F123" s="607">
        <f>'Initial data collection sheet'!H293*'Initial data collection sheet'!P293</f>
        <v>0</v>
      </c>
      <c r="G123" s="608">
        <v>0</v>
      </c>
      <c r="H123" s="608">
        <v>0</v>
      </c>
      <c r="I123" s="765">
        <v>0</v>
      </c>
      <c r="J123" s="315"/>
    </row>
    <row r="124" spans="1:10">
      <c r="A124" s="606" t="str">
        <f>'Initial data collection sheet'!A294</f>
        <v>Molasses (sugar cane)</v>
      </c>
      <c r="B124" s="604">
        <f>'Initial data collection sheet'!H294</f>
        <v>0</v>
      </c>
      <c r="C124" s="604">
        <f>'Initial data collection sheet'!I294</f>
        <v>0</v>
      </c>
      <c r="D124" s="607">
        <f>'Initial data collection sheet'!H294*'Initial data collection sheet'!N294</f>
        <v>0</v>
      </c>
      <c r="E124" s="607">
        <f>'Initial data collection sheet'!H294*'Initial data collection sheet'!O294</f>
        <v>0</v>
      </c>
      <c r="F124" s="607">
        <f>'Initial data collection sheet'!H294*'Initial data collection sheet'!P294</f>
        <v>0</v>
      </c>
      <c r="G124" s="608">
        <v>0</v>
      </c>
      <c r="H124" s="608">
        <v>0</v>
      </c>
      <c r="I124" s="765">
        <v>0</v>
      </c>
      <c r="J124" s="315"/>
    </row>
    <row r="125" spans="1:10">
      <c r="A125" s="606" t="str">
        <f>'Initial data collection sheet'!A295</f>
        <v>Other animal feeds - forage</v>
      </c>
      <c r="B125" s="604">
        <f>'Initial data collection sheet'!H295</f>
        <v>0</v>
      </c>
      <c r="C125" s="604">
        <f>'Initial data collection sheet'!I295</f>
        <v>0</v>
      </c>
      <c r="D125" s="607">
        <f>'Initial data collection sheet'!H295*'Initial data collection sheet'!N295</f>
        <v>0</v>
      </c>
      <c r="E125" s="607">
        <f>'Initial data collection sheet'!H295*'Initial data collection sheet'!O295</f>
        <v>0</v>
      </c>
      <c r="F125" s="607">
        <f>'Initial data collection sheet'!H295*'Initial data collection sheet'!P295</f>
        <v>0</v>
      </c>
      <c r="G125" s="608">
        <v>0</v>
      </c>
      <c r="H125" s="608">
        <v>0</v>
      </c>
      <c r="I125" s="765">
        <v>0</v>
      </c>
      <c r="J125" s="315"/>
    </row>
    <row r="126" spans="1:10">
      <c r="A126" s="606" t="str">
        <f>'Initial data collection sheet'!A296</f>
        <v>Other animal feeds - protein (approx. 45% protein)</v>
      </c>
      <c r="B126" s="604">
        <f>'Initial data collection sheet'!H296</f>
        <v>0</v>
      </c>
      <c r="C126" s="604">
        <f>'Initial data collection sheet'!I296</f>
        <v>0</v>
      </c>
      <c r="D126" s="607">
        <f>'Initial data collection sheet'!H296*'Initial data collection sheet'!N296</f>
        <v>0</v>
      </c>
      <c r="E126" s="607">
        <f>'Initial data collection sheet'!H296*'Initial data collection sheet'!O296</f>
        <v>0</v>
      </c>
      <c r="F126" s="607">
        <f>'Initial data collection sheet'!H296*'Initial data collection sheet'!P296</f>
        <v>0</v>
      </c>
      <c r="G126" s="608">
        <v>0</v>
      </c>
      <c r="H126" s="608">
        <v>0</v>
      </c>
      <c r="I126" s="765">
        <v>0</v>
      </c>
      <c r="J126" s="315"/>
    </row>
    <row r="127" spans="1:10">
      <c r="A127" s="606" t="str">
        <f>'Initial data collection sheet'!A297</f>
        <v>Other animal feeds - energy</v>
      </c>
      <c r="B127" s="604">
        <f>'Initial data collection sheet'!H297</f>
        <v>0</v>
      </c>
      <c r="C127" s="604">
        <f>'Initial data collection sheet'!I297</f>
        <v>0</v>
      </c>
      <c r="D127" s="607">
        <f>'Initial data collection sheet'!H297*'Initial data collection sheet'!N297</f>
        <v>0</v>
      </c>
      <c r="E127" s="607">
        <f>'Initial data collection sheet'!H297*'Initial data collection sheet'!O297</f>
        <v>0</v>
      </c>
      <c r="F127" s="607">
        <f>'Initial data collection sheet'!H297*'Initial data collection sheet'!P297</f>
        <v>0</v>
      </c>
      <c r="G127" s="608">
        <v>0</v>
      </c>
      <c r="H127" s="608">
        <v>0</v>
      </c>
      <c r="I127" s="765">
        <v>0</v>
      </c>
      <c r="J127" s="315"/>
    </row>
    <row r="128" spans="1:10">
      <c r="A128" s="606"/>
      <c r="B128" s="604"/>
      <c r="C128" s="604"/>
      <c r="D128" s="607"/>
      <c r="E128" s="607"/>
      <c r="F128" s="607"/>
      <c r="G128" s="608"/>
      <c r="H128" s="608"/>
      <c r="I128" s="765"/>
      <c r="J128" s="315"/>
    </row>
    <row r="129" spans="1:10">
      <c r="A129" s="603" t="str">
        <f>'Initial data collection sheet'!A299</f>
        <v>Arable straw</v>
      </c>
      <c r="B129" s="604">
        <f>'Initial data collection sheet'!H299</f>
        <v>0</v>
      </c>
      <c r="C129" s="604">
        <f>'Initial data collection sheet'!I299</f>
        <v>0</v>
      </c>
      <c r="D129" s="607">
        <f>'Initial data collection sheet'!H299*'Initial data collection sheet'!N299</f>
        <v>0</v>
      </c>
      <c r="E129" s="607">
        <f>'Initial data collection sheet'!H299*'Initial data collection sheet'!O299</f>
        <v>0</v>
      </c>
      <c r="F129" s="607">
        <f>'Initial data collection sheet'!H299*'Initial data collection sheet'!P299</f>
        <v>0</v>
      </c>
      <c r="G129" s="608">
        <f>'Initial data collection sheet'!I299*'Initial data collection sheet'!N299</f>
        <v>0</v>
      </c>
      <c r="H129" s="608">
        <f>'Initial data collection sheet'!I299*'Initial data collection sheet'!O299</f>
        <v>0</v>
      </c>
      <c r="I129" s="765">
        <f>'Initial data collection sheet'!I299*'Initial data collection sheet'!P299</f>
        <v>0</v>
      </c>
      <c r="J129" s="315"/>
    </row>
    <row r="130" spans="1:10">
      <c r="A130" s="606"/>
      <c r="B130" s="604"/>
      <c r="C130" s="604"/>
      <c r="D130" s="607"/>
      <c r="E130" s="607"/>
      <c r="F130" s="607"/>
      <c r="G130" s="608"/>
      <c r="H130" s="608"/>
      <c r="I130" s="765"/>
      <c r="J130" s="315"/>
    </row>
    <row r="131" spans="1:10">
      <c r="A131" s="603" t="str">
        <f>'Initial data collection sheet'!A302</f>
        <v>Organic manures and slurries</v>
      </c>
      <c r="B131" s="604"/>
      <c r="C131" s="604"/>
      <c r="D131" s="607"/>
      <c r="E131" s="607"/>
      <c r="F131" s="607"/>
      <c r="G131" s="608"/>
      <c r="H131" s="608"/>
      <c r="I131" s="765"/>
      <c r="J131" s="315"/>
    </row>
    <row r="132" spans="1:10">
      <c r="A132" s="606" t="str">
        <f>'Initial data collection sheet'!A303</f>
        <v>Dairy cattle slurry - please enter cubic metres</v>
      </c>
      <c r="B132" s="604">
        <f>'Initial data collection sheet'!H303</f>
        <v>0</v>
      </c>
      <c r="C132" s="604">
        <f>'Initial data collection sheet'!I303</f>
        <v>0</v>
      </c>
      <c r="D132" s="607">
        <f>'Initial data collection sheet'!H303*'Initial data collection sheet'!N303</f>
        <v>0</v>
      </c>
      <c r="E132" s="607">
        <f>'Initial data collection sheet'!H303*'Initial data collection sheet'!O303</f>
        <v>0</v>
      </c>
      <c r="F132" s="607">
        <f>'Initial data collection sheet'!H303*'Initial data collection sheet'!P303</f>
        <v>0</v>
      </c>
      <c r="G132" s="608">
        <f>'Initial data collection sheet'!I303*'Initial data collection sheet'!N303</f>
        <v>0</v>
      </c>
      <c r="H132" s="608">
        <f>'Initial data collection sheet'!I303*'Initial data collection sheet'!O303</f>
        <v>0</v>
      </c>
      <c r="I132" s="765">
        <f>'Initial data collection sheet'!I303*'Initial data collection sheet'!P303</f>
        <v>0</v>
      </c>
      <c r="J132" s="315"/>
    </row>
    <row r="133" spans="1:10">
      <c r="A133" s="606" t="str">
        <f>'Initial data collection sheet'!A304</f>
        <v>Beef cattle slurry - please enter cubic metres</v>
      </c>
      <c r="B133" s="604">
        <f>'Initial data collection sheet'!H304</f>
        <v>0</v>
      </c>
      <c r="C133" s="604">
        <f>'Initial data collection sheet'!I304</f>
        <v>0</v>
      </c>
      <c r="D133" s="607">
        <f>'Initial data collection sheet'!H304*'Initial data collection sheet'!N304</f>
        <v>0</v>
      </c>
      <c r="E133" s="607">
        <f>'Initial data collection sheet'!H304*'Initial data collection sheet'!O304</f>
        <v>0</v>
      </c>
      <c r="F133" s="607">
        <f>'Initial data collection sheet'!H304*'Initial data collection sheet'!P304</f>
        <v>0</v>
      </c>
      <c r="G133" s="608">
        <f>'Initial data collection sheet'!I304*'Initial data collection sheet'!N304</f>
        <v>0</v>
      </c>
      <c r="H133" s="608">
        <f>'Initial data collection sheet'!I304*'Initial data collection sheet'!O304</f>
        <v>0</v>
      </c>
      <c r="I133" s="765">
        <f>'Initial data collection sheet'!I304*'Initial data collection sheet'!P304</f>
        <v>0</v>
      </c>
      <c r="J133" s="315"/>
    </row>
    <row r="134" spans="1:10">
      <c r="A134" s="606" t="str">
        <f>'Initial data collection sheet'!A305</f>
        <v>Pig slurry - please enter cubic metres</v>
      </c>
      <c r="B134" s="604">
        <f>'Initial data collection sheet'!H305</f>
        <v>0</v>
      </c>
      <c r="C134" s="604">
        <f>'Initial data collection sheet'!I305</f>
        <v>0</v>
      </c>
      <c r="D134" s="607">
        <f>'Initial data collection sheet'!H305*'Initial data collection sheet'!N305</f>
        <v>0</v>
      </c>
      <c r="E134" s="607">
        <f>'Initial data collection sheet'!H305*'Initial data collection sheet'!O305</f>
        <v>0</v>
      </c>
      <c r="F134" s="607">
        <f>'Initial data collection sheet'!H305*'Initial data collection sheet'!P305</f>
        <v>0</v>
      </c>
      <c r="G134" s="608">
        <f>'Initial data collection sheet'!I305*'Initial data collection sheet'!N305</f>
        <v>0</v>
      </c>
      <c r="H134" s="608">
        <f>'Initial data collection sheet'!I305*'Initial data collection sheet'!O305</f>
        <v>0</v>
      </c>
      <c r="I134" s="765">
        <f>'Initial data collection sheet'!I305*'Initial data collection sheet'!P305</f>
        <v>0</v>
      </c>
      <c r="J134" s="315"/>
    </row>
    <row r="135" spans="1:10">
      <c r="A135" s="606" t="str">
        <f>'Initial data collection sheet'!A306</f>
        <v>Dirty water - please enter cubic metres</v>
      </c>
      <c r="B135" s="604">
        <f>'Initial data collection sheet'!H306</f>
        <v>0</v>
      </c>
      <c r="C135" s="604">
        <f>'Initial data collection sheet'!I306</f>
        <v>0</v>
      </c>
      <c r="D135" s="607">
        <f>'Initial data collection sheet'!H306*'Initial data collection sheet'!N306</f>
        <v>0</v>
      </c>
      <c r="E135" s="607">
        <f>'Initial data collection sheet'!H306*'Initial data collection sheet'!O306</f>
        <v>0</v>
      </c>
      <c r="F135" s="607">
        <f>'Initial data collection sheet'!H306*'Initial data collection sheet'!P306</f>
        <v>0</v>
      </c>
      <c r="G135" s="608">
        <f>'Initial data collection sheet'!I306*'Initial data collection sheet'!N306</f>
        <v>0</v>
      </c>
      <c r="H135" s="608">
        <f>'Initial data collection sheet'!I306*'Initial data collection sheet'!O306</f>
        <v>0</v>
      </c>
      <c r="I135" s="765">
        <f>'Initial data collection sheet'!I306*'Initial data collection sheet'!P306</f>
        <v>0</v>
      </c>
      <c r="J135" s="315"/>
    </row>
    <row r="136" spans="1:10">
      <c r="A136" s="606" t="str">
        <f>'Initial data collection sheet'!A307</f>
        <v>Cattle FYM</v>
      </c>
      <c r="B136" s="604">
        <f>'Initial data collection sheet'!H307</f>
        <v>0</v>
      </c>
      <c r="C136" s="604">
        <f>'Initial data collection sheet'!I307</f>
        <v>0</v>
      </c>
      <c r="D136" s="607">
        <f>'Initial data collection sheet'!H307*'Initial data collection sheet'!N307</f>
        <v>0</v>
      </c>
      <c r="E136" s="607">
        <f>'Initial data collection sheet'!H307*'Initial data collection sheet'!O307</f>
        <v>0</v>
      </c>
      <c r="F136" s="607">
        <f>'Initial data collection sheet'!H307*'Initial data collection sheet'!P307</f>
        <v>0</v>
      </c>
      <c r="G136" s="608">
        <f>'Initial data collection sheet'!I307*'Initial data collection sheet'!N307</f>
        <v>0</v>
      </c>
      <c r="H136" s="608">
        <f>'Initial data collection sheet'!I307*'Initial data collection sheet'!O307</f>
        <v>0</v>
      </c>
      <c r="I136" s="765">
        <f>'Initial data collection sheet'!I307*'Initial data collection sheet'!P307</f>
        <v>0</v>
      </c>
      <c r="J136" s="315"/>
    </row>
    <row r="137" spans="1:10">
      <c r="A137" s="606" t="str">
        <f>'Initial data collection sheet'!A308</f>
        <v>Pig FYM</v>
      </c>
      <c r="B137" s="604">
        <f>'Initial data collection sheet'!H308</f>
        <v>0</v>
      </c>
      <c r="C137" s="604">
        <f>'Initial data collection sheet'!I308</f>
        <v>0</v>
      </c>
      <c r="D137" s="607">
        <f>'Initial data collection sheet'!H308*'Initial data collection sheet'!N308</f>
        <v>0</v>
      </c>
      <c r="E137" s="607">
        <f>'Initial data collection sheet'!H308*'Initial data collection sheet'!O308</f>
        <v>0</v>
      </c>
      <c r="F137" s="607">
        <f>'Initial data collection sheet'!H308*'Initial data collection sheet'!P308</f>
        <v>0</v>
      </c>
      <c r="G137" s="608">
        <f>'Initial data collection sheet'!I308*'Initial data collection sheet'!N308</f>
        <v>0</v>
      </c>
      <c r="H137" s="608">
        <f>'Initial data collection sheet'!I308*'Initial data collection sheet'!O308</f>
        <v>0</v>
      </c>
      <c r="I137" s="765">
        <f>'Initial data collection sheet'!I308*'Initial data collection sheet'!P308</f>
        <v>0</v>
      </c>
      <c r="J137" s="315"/>
    </row>
    <row r="138" spans="1:10">
      <c r="A138" s="606" t="str">
        <f>'Initial data collection sheet'!A309</f>
        <v>Sheep FYM</v>
      </c>
      <c r="B138" s="604">
        <f>'Initial data collection sheet'!H309</f>
        <v>0</v>
      </c>
      <c r="C138" s="604">
        <f>'Initial data collection sheet'!I309</f>
        <v>0</v>
      </c>
      <c r="D138" s="607">
        <f>'Initial data collection sheet'!H309*'Initial data collection sheet'!N309</f>
        <v>0</v>
      </c>
      <c r="E138" s="607">
        <f>'Initial data collection sheet'!H309*'Initial data collection sheet'!O309</f>
        <v>0</v>
      </c>
      <c r="F138" s="607">
        <f>'Initial data collection sheet'!H309*'Initial data collection sheet'!P309</f>
        <v>0</v>
      </c>
      <c r="G138" s="608">
        <f>'Initial data collection sheet'!I309*'Initial data collection sheet'!N309</f>
        <v>0</v>
      </c>
      <c r="H138" s="608">
        <f>'Initial data collection sheet'!I309*'Initial data collection sheet'!O309</f>
        <v>0</v>
      </c>
      <c r="I138" s="765">
        <f>'Initial data collection sheet'!I309*'Initial data collection sheet'!P309</f>
        <v>0</v>
      </c>
      <c r="J138" s="315"/>
    </row>
    <row r="139" spans="1:10">
      <c r="A139" s="606" t="str">
        <f>'Initial data collection sheet'!A310</f>
        <v>Broiler litter</v>
      </c>
      <c r="B139" s="604">
        <f>'Initial data collection sheet'!H310</f>
        <v>0</v>
      </c>
      <c r="C139" s="604">
        <f>'Initial data collection sheet'!I310</f>
        <v>0</v>
      </c>
      <c r="D139" s="607">
        <f>'Initial data collection sheet'!H310*'Initial data collection sheet'!N310</f>
        <v>0</v>
      </c>
      <c r="E139" s="607">
        <f>'Initial data collection sheet'!H310*'Initial data collection sheet'!O310</f>
        <v>0</v>
      </c>
      <c r="F139" s="607">
        <f>'Initial data collection sheet'!H310*'Initial data collection sheet'!P310</f>
        <v>0</v>
      </c>
      <c r="G139" s="608">
        <f>'Initial data collection sheet'!I310*'Initial data collection sheet'!N310</f>
        <v>0</v>
      </c>
      <c r="H139" s="608">
        <f>'Initial data collection sheet'!I310*'Initial data collection sheet'!O310</f>
        <v>0</v>
      </c>
      <c r="I139" s="765">
        <f>'Initial data collection sheet'!I310*'Initial data collection sheet'!P310</f>
        <v>0</v>
      </c>
      <c r="J139" s="315"/>
    </row>
    <row r="140" spans="1:10">
      <c r="A140" s="606" t="str">
        <f>'Initial data collection sheet'!A311</f>
        <v>Layer litter</v>
      </c>
      <c r="B140" s="604">
        <f>'Initial data collection sheet'!H311</f>
        <v>0</v>
      </c>
      <c r="C140" s="604">
        <f>'Initial data collection sheet'!I311</f>
        <v>0</v>
      </c>
      <c r="D140" s="607">
        <f>'Initial data collection sheet'!H311*'Initial data collection sheet'!N311</f>
        <v>0</v>
      </c>
      <c r="E140" s="607">
        <f>'Initial data collection sheet'!H311*'Initial data collection sheet'!O311</f>
        <v>0</v>
      </c>
      <c r="F140" s="607">
        <f>'Initial data collection sheet'!H311*'Initial data collection sheet'!P311</f>
        <v>0</v>
      </c>
      <c r="G140" s="608">
        <f>'Initial data collection sheet'!I311*'Initial data collection sheet'!N311</f>
        <v>0</v>
      </c>
      <c r="H140" s="608">
        <f>'Initial data collection sheet'!I311*'Initial data collection sheet'!O311</f>
        <v>0</v>
      </c>
      <c r="I140" s="765">
        <f>'Initial data collection sheet'!I311*'Initial data collection sheet'!P311</f>
        <v>0</v>
      </c>
      <c r="J140" s="315"/>
    </row>
    <row r="141" spans="1:10">
      <c r="A141" s="606" t="str">
        <f>'Initial data collection sheet'!A312</f>
        <v>Duck FYM</v>
      </c>
      <c r="B141" s="604">
        <f>'Initial data collection sheet'!H312</f>
        <v>0</v>
      </c>
      <c r="C141" s="604">
        <f>'Initial data collection sheet'!I312</f>
        <v>0</v>
      </c>
      <c r="D141" s="607">
        <f>'Initial data collection sheet'!H312*'Initial data collection sheet'!N312</f>
        <v>0</v>
      </c>
      <c r="E141" s="607">
        <f>'Initial data collection sheet'!H312*'Initial data collection sheet'!O312</f>
        <v>0</v>
      </c>
      <c r="F141" s="607">
        <f>'Initial data collection sheet'!H312*'Initial data collection sheet'!P312</f>
        <v>0</v>
      </c>
      <c r="G141" s="608">
        <f>'Initial data collection sheet'!I312*'Initial data collection sheet'!N312</f>
        <v>0</v>
      </c>
      <c r="H141" s="608">
        <f>'Initial data collection sheet'!I312*'Initial data collection sheet'!O312</f>
        <v>0</v>
      </c>
      <c r="I141" s="765">
        <f>'Initial data collection sheet'!I312*'Initial data collection sheet'!P312</f>
        <v>0</v>
      </c>
      <c r="J141" s="315"/>
    </row>
    <row r="142" spans="1:10">
      <c r="A142" s="606" t="str">
        <f>'Initial data collection sheet'!A313</f>
        <v>Waste food</v>
      </c>
      <c r="B142" s="604">
        <f>'Initial data collection sheet'!H313</f>
        <v>0</v>
      </c>
      <c r="C142" s="604">
        <f>'Initial data collection sheet'!I313</f>
        <v>0</v>
      </c>
      <c r="D142" s="607">
        <f>'Initial data collection sheet'!H313*'Initial data collection sheet'!N313</f>
        <v>0</v>
      </c>
      <c r="E142" s="607">
        <f>'Initial data collection sheet'!H313*'Initial data collection sheet'!O313</f>
        <v>0</v>
      </c>
      <c r="F142" s="607">
        <f>'Initial data collection sheet'!H313*'Initial data collection sheet'!P313</f>
        <v>0</v>
      </c>
      <c r="G142" s="608">
        <f>'Initial data collection sheet'!I313*'Initial data collection sheet'!N313</f>
        <v>0</v>
      </c>
      <c r="H142" s="608">
        <f>'Initial data collection sheet'!I313*'Initial data collection sheet'!O313</f>
        <v>0</v>
      </c>
      <c r="I142" s="765">
        <f>'Initial data collection sheet'!I313*'Initial data collection sheet'!P313</f>
        <v>0</v>
      </c>
      <c r="J142" s="315"/>
    </row>
    <row r="143" spans="1:10">
      <c r="A143" s="606" t="str">
        <f>'Initial data collection sheet'!A314</f>
        <v>Green waste compost</v>
      </c>
      <c r="B143" s="604">
        <f>'Initial data collection sheet'!H314</f>
        <v>0</v>
      </c>
      <c r="C143" s="604">
        <f>'Initial data collection sheet'!I314</f>
        <v>0</v>
      </c>
      <c r="D143" s="607">
        <f>'Initial data collection sheet'!H314*'Initial data collection sheet'!N314</f>
        <v>0</v>
      </c>
      <c r="E143" s="607">
        <f>'Initial data collection sheet'!H314*'Initial data collection sheet'!O314</f>
        <v>0</v>
      </c>
      <c r="F143" s="607">
        <f>'Initial data collection sheet'!H314*'Initial data collection sheet'!P314</f>
        <v>0</v>
      </c>
      <c r="G143" s="608">
        <f>'Initial data collection sheet'!I314*'Initial data collection sheet'!N314</f>
        <v>0</v>
      </c>
      <c r="H143" s="608">
        <f>'Initial data collection sheet'!I314*'Initial data collection sheet'!O314</f>
        <v>0</v>
      </c>
      <c r="I143" s="765">
        <f>'Initial data collection sheet'!I314*'Initial data collection sheet'!P314</f>
        <v>0</v>
      </c>
      <c r="J143" s="315"/>
    </row>
    <row r="144" spans="1:10">
      <c r="A144" s="606" t="str">
        <f>'Initial data collection sheet'!A315</f>
        <v>Other</v>
      </c>
      <c r="B144" s="604">
        <f>'Initial data collection sheet'!H315</f>
        <v>0</v>
      </c>
      <c r="C144" s="604">
        <f>'Initial data collection sheet'!I315</f>
        <v>0</v>
      </c>
      <c r="D144" s="607">
        <f>'Initial data collection sheet'!H315*'Initial data collection sheet'!N315</f>
        <v>0</v>
      </c>
      <c r="E144" s="607">
        <f>'Initial data collection sheet'!H315*'Initial data collection sheet'!O315</f>
        <v>0</v>
      </c>
      <c r="F144" s="607">
        <f>'Initial data collection sheet'!H315*'Initial data collection sheet'!P315</f>
        <v>0</v>
      </c>
      <c r="G144" s="608">
        <f>'Initial data collection sheet'!I315*'Initial data collection sheet'!N315</f>
        <v>0</v>
      </c>
      <c r="H144" s="608">
        <f>'Initial data collection sheet'!I315*'Initial data collection sheet'!O315</f>
        <v>0</v>
      </c>
      <c r="I144" s="765">
        <f>'Initial data collection sheet'!I315*'Initial data collection sheet'!P315</f>
        <v>0</v>
      </c>
      <c r="J144" s="315"/>
    </row>
    <row r="145" spans="1:10">
      <c r="A145" s="606"/>
      <c r="B145" s="604"/>
      <c r="C145" s="604"/>
      <c r="D145" s="607"/>
      <c r="E145" s="607"/>
      <c r="F145" s="607"/>
      <c r="G145" s="608"/>
      <c r="H145" s="608"/>
      <c r="I145" s="765"/>
      <c r="J145" s="315"/>
    </row>
    <row r="146" spans="1:10">
      <c r="A146" s="603" t="str">
        <f>'Initial data collection sheet'!A317</f>
        <v>Sewage sludge / biosolids</v>
      </c>
      <c r="B146" s="604">
        <f>'Initial data collection sheet'!H317</f>
        <v>0</v>
      </c>
      <c r="C146" s="604">
        <f>'Initial data collection sheet'!I317</f>
        <v>0</v>
      </c>
      <c r="D146" s="607">
        <f>'Initial data collection sheet'!H317*'Initial data collection sheet'!N317</f>
        <v>0</v>
      </c>
      <c r="E146" s="607">
        <f>'Initial data collection sheet'!H317*'Initial data collection sheet'!O317</f>
        <v>0</v>
      </c>
      <c r="F146" s="607">
        <f>'Initial data collection sheet'!H317*'Initial data collection sheet'!P317</f>
        <v>0</v>
      </c>
      <c r="G146" s="608">
        <f>'Initial data collection sheet'!I317*'Initial data collection sheet'!N317</f>
        <v>0</v>
      </c>
      <c r="H146" s="608">
        <f>'Initial data collection sheet'!I317*'Initial data collection sheet'!O317</f>
        <v>0</v>
      </c>
      <c r="I146" s="765">
        <f>'Initial data collection sheet'!I317*'Initial data collection sheet'!P317</f>
        <v>0</v>
      </c>
      <c r="J146" s="315"/>
    </row>
    <row r="147" spans="1:10">
      <c r="A147" s="606" t="str">
        <f>'Initial data collection sheet'!A318</f>
        <v>Digested liquid</v>
      </c>
      <c r="B147" s="604">
        <f>'Initial data collection sheet'!H318</f>
        <v>0</v>
      </c>
      <c r="C147" s="604">
        <f>'Initial data collection sheet'!I318</f>
        <v>0</v>
      </c>
      <c r="D147" s="607">
        <f>'Initial data collection sheet'!H318*'Initial data collection sheet'!N318</f>
        <v>0</v>
      </c>
      <c r="E147" s="607">
        <f>'Initial data collection sheet'!H318*'Initial data collection sheet'!O318</f>
        <v>0</v>
      </c>
      <c r="F147" s="607">
        <f>'Initial data collection sheet'!H318*'Initial data collection sheet'!P318</f>
        <v>0</v>
      </c>
      <c r="G147" s="608">
        <f>'Initial data collection sheet'!I318*'Initial data collection sheet'!N318</f>
        <v>0</v>
      </c>
      <c r="H147" s="608">
        <f>'Initial data collection sheet'!I318*'Initial data collection sheet'!O318</f>
        <v>0</v>
      </c>
      <c r="I147" s="765">
        <f>'Initial data collection sheet'!I318*'Initial data collection sheet'!P318</f>
        <v>0</v>
      </c>
      <c r="J147" s="315"/>
    </row>
    <row r="148" spans="1:10">
      <c r="A148" s="606" t="str">
        <f>'Initial data collection sheet'!A319</f>
        <v>Digested cake</v>
      </c>
      <c r="B148" s="604">
        <f>'Initial data collection sheet'!H319</f>
        <v>0</v>
      </c>
      <c r="C148" s="604">
        <f>'Initial data collection sheet'!I319</f>
        <v>0</v>
      </c>
      <c r="D148" s="607">
        <f>'Initial data collection sheet'!H319*'Initial data collection sheet'!N319</f>
        <v>0</v>
      </c>
      <c r="E148" s="607">
        <f>'Initial data collection sheet'!H319*'Initial data collection sheet'!O319</f>
        <v>0</v>
      </c>
      <c r="F148" s="607">
        <f>'Initial data collection sheet'!H319*'Initial data collection sheet'!P319</f>
        <v>0</v>
      </c>
      <c r="G148" s="608">
        <f>'Initial data collection sheet'!I319*'Initial data collection sheet'!N319</f>
        <v>0</v>
      </c>
      <c r="H148" s="608">
        <f>'Initial data collection sheet'!I319*'Initial data collection sheet'!O319</f>
        <v>0</v>
      </c>
      <c r="I148" s="765">
        <f>'Initial data collection sheet'!I319*'Initial data collection sheet'!P319</f>
        <v>0</v>
      </c>
      <c r="J148" s="315"/>
    </row>
    <row r="149" spans="1:10">
      <c r="A149" s="606" t="str">
        <f>'Initial data collection sheet'!A320</f>
        <v>Thermally dried</v>
      </c>
      <c r="B149" s="604">
        <f>'Initial data collection sheet'!H320</f>
        <v>0</v>
      </c>
      <c r="C149" s="604">
        <f>'Initial data collection sheet'!I320</f>
        <v>0</v>
      </c>
      <c r="D149" s="607">
        <f>'Initial data collection sheet'!H320*'Initial data collection sheet'!N320</f>
        <v>0</v>
      </c>
      <c r="E149" s="607">
        <f>'Initial data collection sheet'!H320*'Initial data collection sheet'!O320</f>
        <v>0</v>
      </c>
      <c r="F149" s="607">
        <f>'Initial data collection sheet'!H320*'Initial data collection sheet'!P320</f>
        <v>0</v>
      </c>
      <c r="G149" s="608">
        <f>'Initial data collection sheet'!I320*'Initial data collection sheet'!N320</f>
        <v>0</v>
      </c>
      <c r="H149" s="608">
        <f>'Initial data collection sheet'!I320*'Initial data collection sheet'!O320</f>
        <v>0</v>
      </c>
      <c r="I149" s="765">
        <f>'Initial data collection sheet'!I320*'Initial data collection sheet'!P320</f>
        <v>0</v>
      </c>
      <c r="J149" s="315"/>
    </row>
    <row r="150" spans="1:10">
      <c r="A150" s="606" t="str">
        <f>'Initial data collection sheet'!A321</f>
        <v>Lime stabilised</v>
      </c>
      <c r="B150" s="604">
        <f>'Initial data collection sheet'!H321</f>
        <v>0</v>
      </c>
      <c r="C150" s="604">
        <f>'Initial data collection sheet'!I321</f>
        <v>0</v>
      </c>
      <c r="D150" s="607">
        <f>'Initial data collection sheet'!H321*'Initial data collection sheet'!N321</f>
        <v>0</v>
      </c>
      <c r="E150" s="607">
        <f>'Initial data collection sheet'!H321*'Initial data collection sheet'!O321</f>
        <v>0</v>
      </c>
      <c r="F150" s="607">
        <f>'Initial data collection sheet'!H321*'Initial data collection sheet'!P321</f>
        <v>0</v>
      </c>
      <c r="G150" s="608">
        <f>'Initial data collection sheet'!I321*'Initial data collection sheet'!N321</f>
        <v>0</v>
      </c>
      <c r="H150" s="608">
        <f>'Initial data collection sheet'!I321*'Initial data collection sheet'!O321</f>
        <v>0</v>
      </c>
      <c r="I150" s="765">
        <f>'Initial data collection sheet'!I321*'Initial data collection sheet'!P321</f>
        <v>0</v>
      </c>
      <c r="J150" s="315"/>
    </row>
    <row r="151" spans="1:10">
      <c r="A151" s="606"/>
      <c r="B151" s="604"/>
      <c r="C151" s="604"/>
      <c r="D151" s="607"/>
      <c r="E151" s="607"/>
      <c r="F151" s="607"/>
      <c r="G151" s="608"/>
      <c r="H151" s="608"/>
      <c r="I151" s="765"/>
      <c r="J151" s="315"/>
    </row>
    <row r="152" spans="1:10">
      <c r="A152" s="603" t="str">
        <f>'Initial data collection sheet'!A323</f>
        <v>Inorganic fertilisers - nitrogen</v>
      </c>
      <c r="B152" s="604"/>
      <c r="C152" s="604"/>
      <c r="D152" s="607"/>
      <c r="E152" s="607"/>
      <c r="F152" s="607"/>
      <c r="G152" s="608"/>
      <c r="H152" s="608"/>
      <c r="I152" s="765"/>
      <c r="J152" s="315"/>
    </row>
    <row r="153" spans="1:10">
      <c r="A153" s="606" t="str">
        <f>'Initial data collection sheet'!A324</f>
        <v>Ammonium Nitrate (34% N)</v>
      </c>
      <c r="B153" s="604">
        <f>'Initial data collection sheet'!H324</f>
        <v>0</v>
      </c>
      <c r="C153" s="604">
        <v>0</v>
      </c>
      <c r="D153" s="607">
        <f>'Initial data collection sheet'!H324*'Initial data collection sheet'!N324</f>
        <v>0</v>
      </c>
      <c r="E153" s="607">
        <f>'Initial data collection sheet'!H324*'Initial data collection sheet'!O324</f>
        <v>0</v>
      </c>
      <c r="F153" s="607">
        <f>'Initial data collection sheet'!H324*'Initial data collection sheet'!P324</f>
        <v>0</v>
      </c>
      <c r="G153" s="608">
        <v>0</v>
      </c>
      <c r="H153" s="608">
        <v>0</v>
      </c>
      <c r="I153" s="765">
        <v>0</v>
      </c>
      <c r="J153" s="315"/>
    </row>
    <row r="154" spans="1:10">
      <c r="A154" s="606" t="str">
        <f>'Initial data collection sheet'!A325</f>
        <v>Ammonium Sulphate (21% N)</v>
      </c>
      <c r="B154" s="604">
        <f>'Initial data collection sheet'!H325</f>
        <v>0</v>
      </c>
      <c r="C154" s="604">
        <v>0</v>
      </c>
      <c r="D154" s="607">
        <f>'Initial data collection sheet'!H325*'Initial data collection sheet'!N325</f>
        <v>0</v>
      </c>
      <c r="E154" s="607">
        <f>'Initial data collection sheet'!H325*'Initial data collection sheet'!O325</f>
        <v>0</v>
      </c>
      <c r="F154" s="607">
        <f>'Initial data collection sheet'!H325*'Initial data collection sheet'!P325</f>
        <v>0</v>
      </c>
      <c r="G154" s="608">
        <v>0</v>
      </c>
      <c r="H154" s="608">
        <v>0</v>
      </c>
      <c r="I154" s="765">
        <v>0</v>
      </c>
      <c r="J154" s="315"/>
    </row>
    <row r="155" spans="1:10">
      <c r="A155" s="606" t="str">
        <f>'Initial data collection sheet'!A326</f>
        <v>Liquid N (24% N)</v>
      </c>
      <c r="B155" s="604">
        <f>'Initial data collection sheet'!H326</f>
        <v>0</v>
      </c>
      <c r="C155" s="604">
        <v>0</v>
      </c>
      <c r="D155" s="607">
        <f>'Initial data collection sheet'!H326*'Initial data collection sheet'!N326</f>
        <v>0</v>
      </c>
      <c r="E155" s="607">
        <f>'Initial data collection sheet'!H326*'Initial data collection sheet'!O326</f>
        <v>0</v>
      </c>
      <c r="F155" s="607">
        <f>'Initial data collection sheet'!H326*'Initial data collection sheet'!P326</f>
        <v>0</v>
      </c>
      <c r="G155" s="608">
        <v>0</v>
      </c>
      <c r="H155" s="608">
        <v>0</v>
      </c>
      <c r="I155" s="765">
        <v>0</v>
      </c>
      <c r="J155" s="315"/>
    </row>
    <row r="156" spans="1:10">
      <c r="A156" s="606" t="str">
        <f>'Initial data collection sheet'!A327</f>
        <v>Calcium ammonium nitrate</v>
      </c>
      <c r="B156" s="604">
        <f>'Initial data collection sheet'!H327</f>
        <v>0</v>
      </c>
      <c r="C156" s="604">
        <v>0</v>
      </c>
      <c r="D156" s="607">
        <f>'Initial data collection sheet'!H327*'Initial data collection sheet'!N327</f>
        <v>0</v>
      </c>
      <c r="E156" s="607">
        <f>'Initial data collection sheet'!H327*'Initial data collection sheet'!O327</f>
        <v>0</v>
      </c>
      <c r="F156" s="607">
        <f>'Initial data collection sheet'!H327*'Initial data collection sheet'!P327</f>
        <v>0</v>
      </c>
      <c r="G156" s="608">
        <v>0</v>
      </c>
      <c r="H156" s="608">
        <v>0</v>
      </c>
      <c r="I156" s="765">
        <v>0</v>
      </c>
      <c r="J156" s="315"/>
    </row>
    <row r="157" spans="1:10">
      <c r="A157" s="606" t="str">
        <f>'Initial data collection sheet'!A328</f>
        <v>Calcium nitrate</v>
      </c>
      <c r="B157" s="604">
        <f>'Initial data collection sheet'!H328</f>
        <v>0</v>
      </c>
      <c r="C157" s="604">
        <v>0</v>
      </c>
      <c r="D157" s="607">
        <f>'Initial data collection sheet'!H328*'Initial data collection sheet'!N328</f>
        <v>0</v>
      </c>
      <c r="E157" s="607">
        <f>'Initial data collection sheet'!H328*'Initial data collection sheet'!O328</f>
        <v>0</v>
      </c>
      <c r="F157" s="607">
        <f>'Initial data collection sheet'!H328*'Initial data collection sheet'!P328</f>
        <v>0</v>
      </c>
      <c r="G157" s="608">
        <v>0</v>
      </c>
      <c r="H157" s="608">
        <v>0</v>
      </c>
      <c r="I157" s="765">
        <v>0</v>
      </c>
      <c r="J157" s="315"/>
    </row>
    <row r="158" spans="1:10">
      <c r="A158" s="606" t="str">
        <f>'Initial data collection sheet'!A329</f>
        <v>Urea</v>
      </c>
      <c r="B158" s="604">
        <f>'Initial data collection sheet'!H329</f>
        <v>0</v>
      </c>
      <c r="C158" s="604">
        <v>0</v>
      </c>
      <c r="D158" s="607">
        <f>'Initial data collection sheet'!H329*'Initial data collection sheet'!N329</f>
        <v>0</v>
      </c>
      <c r="E158" s="607">
        <f>'Initial data collection sheet'!H329*'Initial data collection sheet'!O329</f>
        <v>0</v>
      </c>
      <c r="F158" s="607">
        <f>'Initial data collection sheet'!H329*'Initial data collection sheet'!P329</f>
        <v>0</v>
      </c>
      <c r="G158" s="608">
        <v>0</v>
      </c>
      <c r="H158" s="608">
        <v>0</v>
      </c>
      <c r="I158" s="765">
        <v>0</v>
      </c>
      <c r="J158" s="315"/>
    </row>
    <row r="159" spans="1:10">
      <c r="A159" s="606"/>
      <c r="B159" s="604"/>
      <c r="C159" s="604"/>
      <c r="D159" s="607"/>
      <c r="E159" s="607"/>
      <c r="F159" s="607"/>
      <c r="G159" s="608"/>
      <c r="H159" s="608"/>
      <c r="I159" s="765"/>
      <c r="J159" s="315"/>
    </row>
    <row r="160" spans="1:10">
      <c r="A160" s="603" t="str">
        <f>'Initial data collection sheet'!A331</f>
        <v>Inorganic fertilisers - phosphate</v>
      </c>
      <c r="B160" s="604"/>
      <c r="C160" s="604"/>
      <c r="D160" s="607"/>
      <c r="E160" s="607"/>
      <c r="F160" s="607"/>
      <c r="G160" s="608"/>
      <c r="H160" s="608"/>
      <c r="I160" s="765"/>
      <c r="J160" s="315"/>
    </row>
    <row r="161" spans="1:10">
      <c r="A161" s="606" t="str">
        <f>'Initial data collection sheet'!A332</f>
        <v>Triple superphosphate (TSP)</v>
      </c>
      <c r="B161" s="604">
        <f>'Initial data collection sheet'!H332</f>
        <v>0</v>
      </c>
      <c r="C161" s="604">
        <v>0</v>
      </c>
      <c r="D161" s="607">
        <f>'Initial data collection sheet'!H332*'Initial data collection sheet'!N332</f>
        <v>0</v>
      </c>
      <c r="E161" s="607">
        <f>'Initial data collection sheet'!H332*'Initial data collection sheet'!O332</f>
        <v>0</v>
      </c>
      <c r="F161" s="607">
        <f>'Initial data collection sheet'!H332*'Initial data collection sheet'!P332</f>
        <v>0</v>
      </c>
      <c r="G161" s="608">
        <v>0</v>
      </c>
      <c r="H161" s="608">
        <v>0</v>
      </c>
      <c r="I161" s="765">
        <v>0</v>
      </c>
      <c r="J161" s="315"/>
    </row>
    <row r="162" spans="1:10">
      <c r="A162" s="606" t="str">
        <f>'Initial data collection sheet'!A333</f>
        <v>Di-ammonium phosphate (DAP)</v>
      </c>
      <c r="B162" s="604">
        <f>'Initial data collection sheet'!H333</f>
        <v>0</v>
      </c>
      <c r="C162" s="604">
        <v>0</v>
      </c>
      <c r="D162" s="607">
        <f>'Initial data collection sheet'!H333*'Initial data collection sheet'!N333</f>
        <v>0</v>
      </c>
      <c r="E162" s="607">
        <f>'Initial data collection sheet'!H333*'Initial data collection sheet'!O333</f>
        <v>0</v>
      </c>
      <c r="F162" s="607">
        <f>'Initial data collection sheet'!H333*'Initial data collection sheet'!P333</f>
        <v>0</v>
      </c>
      <c r="G162" s="608">
        <v>0</v>
      </c>
      <c r="H162" s="608">
        <v>0</v>
      </c>
      <c r="I162" s="765">
        <v>0</v>
      </c>
      <c r="J162" s="315"/>
    </row>
    <row r="163" spans="1:10">
      <c r="A163" s="606" t="str">
        <f>'Initial data collection sheet'!A334</f>
        <v>Mono-ammonium phosphate (MAP)</v>
      </c>
      <c r="B163" s="604">
        <f>'Initial data collection sheet'!H334</f>
        <v>0</v>
      </c>
      <c r="C163" s="604">
        <v>0</v>
      </c>
      <c r="D163" s="607">
        <f>'Initial data collection sheet'!H334*'Initial data collection sheet'!N334</f>
        <v>0</v>
      </c>
      <c r="E163" s="607">
        <f>'Initial data collection sheet'!H334*'Initial data collection sheet'!O334</f>
        <v>0</v>
      </c>
      <c r="F163" s="607">
        <f>'Initial data collection sheet'!H334*'Initial data collection sheet'!P334</f>
        <v>0</v>
      </c>
      <c r="G163" s="608">
        <v>0</v>
      </c>
      <c r="H163" s="608">
        <v>0</v>
      </c>
      <c r="I163" s="765">
        <v>0</v>
      </c>
      <c r="J163" s="315"/>
    </row>
    <row r="164" spans="1:10">
      <c r="A164" s="606" t="str">
        <f>'Initial data collection sheet'!A335</f>
        <v>Rock phosphate</v>
      </c>
      <c r="B164" s="604">
        <f>'Initial data collection sheet'!H335</f>
        <v>0</v>
      </c>
      <c r="C164" s="604">
        <v>0</v>
      </c>
      <c r="D164" s="607">
        <f>'Initial data collection sheet'!H335*'Initial data collection sheet'!N335</f>
        <v>0</v>
      </c>
      <c r="E164" s="607">
        <f>'Initial data collection sheet'!H335*'Initial data collection sheet'!O335</f>
        <v>0</v>
      </c>
      <c r="F164" s="607">
        <f>'Initial data collection sheet'!H335*'Initial data collection sheet'!P335</f>
        <v>0</v>
      </c>
      <c r="G164" s="608">
        <v>0</v>
      </c>
      <c r="H164" s="608">
        <v>0</v>
      </c>
      <c r="I164" s="765">
        <v>0</v>
      </c>
      <c r="J164" s="315"/>
    </row>
    <row r="165" spans="1:10">
      <c r="A165" s="606"/>
      <c r="B165" s="604"/>
      <c r="C165" s="604"/>
      <c r="D165" s="607"/>
      <c r="E165" s="607"/>
      <c r="F165" s="607"/>
      <c r="G165" s="608"/>
      <c r="H165" s="608"/>
      <c r="I165" s="765"/>
      <c r="J165" s="315"/>
    </row>
    <row r="166" spans="1:10">
      <c r="A166" s="603" t="str">
        <f>'Initial data collection sheet'!A337</f>
        <v>Inorganic fertilisers - potassium</v>
      </c>
      <c r="B166" s="604"/>
      <c r="C166" s="604"/>
      <c r="D166" s="607"/>
      <c r="E166" s="607"/>
      <c r="F166" s="607"/>
      <c r="G166" s="608"/>
      <c r="H166" s="608"/>
      <c r="I166" s="765"/>
      <c r="J166" s="315"/>
    </row>
    <row r="167" spans="1:10">
      <c r="A167" s="606" t="str">
        <f>'Initial data collection sheet'!A338</f>
        <v>Muriate of potash (MOP)</v>
      </c>
      <c r="B167" s="604">
        <f>'Initial data collection sheet'!H338</f>
        <v>0</v>
      </c>
      <c r="C167" s="604">
        <v>0</v>
      </c>
      <c r="D167" s="607">
        <f>'Initial data collection sheet'!H338*'Initial data collection sheet'!N338</f>
        <v>0</v>
      </c>
      <c r="E167" s="607">
        <f>'Initial data collection sheet'!H338*'Initial data collection sheet'!O338</f>
        <v>0</v>
      </c>
      <c r="F167" s="607">
        <f>'Initial data collection sheet'!H338*'Initial data collection sheet'!P338</f>
        <v>0</v>
      </c>
      <c r="G167" s="608">
        <v>0</v>
      </c>
      <c r="H167" s="608">
        <v>0</v>
      </c>
      <c r="I167" s="765">
        <v>0</v>
      </c>
      <c r="J167" s="315"/>
    </row>
    <row r="168" spans="1:10">
      <c r="A168" s="606" t="str">
        <f>'Initial data collection sheet'!A339</f>
        <v>Sulphate of potash (SOP)</v>
      </c>
      <c r="B168" s="604">
        <f>'Initial data collection sheet'!H339</f>
        <v>0</v>
      </c>
      <c r="C168" s="604">
        <v>0</v>
      </c>
      <c r="D168" s="607">
        <f>'Initial data collection sheet'!H339*'Initial data collection sheet'!N339</f>
        <v>0</v>
      </c>
      <c r="E168" s="607">
        <f>'Initial data collection sheet'!H339*'Initial data collection sheet'!O339</f>
        <v>0</v>
      </c>
      <c r="F168" s="607">
        <f>'Initial data collection sheet'!H339*'Initial data collection sheet'!P339</f>
        <v>0</v>
      </c>
      <c r="G168" s="608">
        <v>0</v>
      </c>
      <c r="H168" s="608">
        <v>0</v>
      </c>
      <c r="I168" s="765">
        <v>0</v>
      </c>
      <c r="J168" s="315"/>
    </row>
    <row r="169" spans="1:10">
      <c r="A169" s="606" t="str">
        <f>'Initial data collection sheet'!A340</f>
        <v>Potassium nitrate</v>
      </c>
      <c r="B169" s="604">
        <f>'Initial data collection sheet'!H340</f>
        <v>0</v>
      </c>
      <c r="C169" s="604">
        <v>0</v>
      </c>
      <c r="D169" s="607">
        <f>'Initial data collection sheet'!H340*'Initial data collection sheet'!N340</f>
        <v>0</v>
      </c>
      <c r="E169" s="607">
        <f>'Initial data collection sheet'!H340*'Initial data collection sheet'!O340</f>
        <v>0</v>
      </c>
      <c r="F169" s="607">
        <f>'Initial data collection sheet'!H340*'Initial data collection sheet'!P340</f>
        <v>0</v>
      </c>
      <c r="G169" s="608">
        <v>0</v>
      </c>
      <c r="H169" s="608">
        <v>0</v>
      </c>
      <c r="I169" s="765">
        <v>0</v>
      </c>
      <c r="J169" s="315"/>
    </row>
    <row r="170" spans="1:10">
      <c r="A170" s="606" t="str">
        <f>'Initial data collection sheet'!A341</f>
        <v>Rock potash</v>
      </c>
      <c r="B170" s="604">
        <f>'Initial data collection sheet'!H341</f>
        <v>0</v>
      </c>
      <c r="C170" s="604">
        <v>0</v>
      </c>
      <c r="D170" s="607">
        <f>'Initial data collection sheet'!H341*'Initial data collection sheet'!N341</f>
        <v>0</v>
      </c>
      <c r="E170" s="607">
        <f>'Initial data collection sheet'!H341*'Initial data collection sheet'!O341</f>
        <v>0</v>
      </c>
      <c r="F170" s="607">
        <f>'Initial data collection sheet'!H341*'Initial data collection sheet'!P341</f>
        <v>0</v>
      </c>
      <c r="G170" s="608">
        <v>0</v>
      </c>
      <c r="H170" s="608">
        <v>0</v>
      </c>
      <c r="I170" s="765">
        <v>0</v>
      </c>
      <c r="J170" s="315"/>
    </row>
    <row r="171" spans="1:10">
      <c r="A171" s="606" t="str">
        <f>'Initial data collection sheet'!A342</f>
        <v xml:space="preserve">Kainit </v>
      </c>
      <c r="B171" s="604">
        <f>'Initial data collection sheet'!H342</f>
        <v>0</v>
      </c>
      <c r="C171" s="604">
        <v>0</v>
      </c>
      <c r="D171" s="607">
        <f>'Initial data collection sheet'!H342*'Initial data collection sheet'!N342</f>
        <v>0</v>
      </c>
      <c r="E171" s="607">
        <f>'Initial data collection sheet'!H342*'Initial data collection sheet'!O342</f>
        <v>0</v>
      </c>
      <c r="F171" s="607">
        <f>'Initial data collection sheet'!H342*'Initial data collection sheet'!P342</f>
        <v>0</v>
      </c>
      <c r="G171" s="608">
        <v>0</v>
      </c>
      <c r="H171" s="608">
        <v>0</v>
      </c>
      <c r="I171" s="765">
        <v>0</v>
      </c>
      <c r="J171" s="315"/>
    </row>
    <row r="172" spans="1:10">
      <c r="A172" s="606" t="str">
        <f>'Initial data collection sheet'!A343</f>
        <v xml:space="preserve">Sylvinite </v>
      </c>
      <c r="B172" s="604">
        <f>'Initial data collection sheet'!H343</f>
        <v>0</v>
      </c>
      <c r="C172" s="604">
        <v>0</v>
      </c>
      <c r="D172" s="607">
        <f>'Initial data collection sheet'!H343*'Initial data collection sheet'!N343</f>
        <v>0</v>
      </c>
      <c r="E172" s="607">
        <f>'Initial data collection sheet'!H343*'Initial data collection sheet'!O343</f>
        <v>0</v>
      </c>
      <c r="F172" s="607">
        <f>'Initial data collection sheet'!H343*'Initial data collection sheet'!P343</f>
        <v>0</v>
      </c>
      <c r="G172" s="608">
        <v>0</v>
      </c>
      <c r="H172" s="608">
        <v>0</v>
      </c>
      <c r="I172" s="765">
        <v>0</v>
      </c>
      <c r="J172" s="315"/>
    </row>
    <row r="173" spans="1:10">
      <c r="A173" s="606" t="str">
        <f>'Initial data collection sheet'!A344</f>
        <v>MSL - K</v>
      </c>
      <c r="B173" s="604">
        <f>'Initial data collection sheet'!H344</f>
        <v>0</v>
      </c>
      <c r="C173" s="604">
        <v>0</v>
      </c>
      <c r="D173" s="607">
        <f>'Initial data collection sheet'!H344*'Initial data collection sheet'!N344</f>
        <v>0</v>
      </c>
      <c r="E173" s="607">
        <f>'Initial data collection sheet'!H344*'Initial data collection sheet'!O344</f>
        <v>0</v>
      </c>
      <c r="F173" s="607">
        <f>'Initial data collection sheet'!H344*'Initial data collection sheet'!P344</f>
        <v>0</v>
      </c>
      <c r="G173" s="608">
        <v>0</v>
      </c>
      <c r="H173" s="608">
        <v>0</v>
      </c>
      <c r="I173" s="765">
        <v>0</v>
      </c>
      <c r="J173" s="315"/>
    </row>
    <row r="174" spans="1:10">
      <c r="A174" s="606" t="str">
        <f>'Initial data collection sheet'!A345</f>
        <v>Sylvinite</v>
      </c>
      <c r="B174" s="604">
        <f>'Initial data collection sheet'!H345</f>
        <v>0</v>
      </c>
      <c r="C174" s="604">
        <v>0</v>
      </c>
      <c r="D174" s="607">
        <f>'Initial data collection sheet'!H345*'Initial data collection sheet'!N345</f>
        <v>0</v>
      </c>
      <c r="E174" s="607">
        <f>'Initial data collection sheet'!H345*'Initial data collection sheet'!O345</f>
        <v>0</v>
      </c>
      <c r="F174" s="607">
        <f>'Initial data collection sheet'!H345*'Initial data collection sheet'!P345</f>
        <v>0</v>
      </c>
      <c r="G174" s="608">
        <v>0</v>
      </c>
      <c r="H174" s="608">
        <v>0</v>
      </c>
      <c r="I174" s="765">
        <v>0</v>
      </c>
      <c r="J174" s="315"/>
    </row>
    <row r="175" spans="1:10">
      <c r="A175" s="606" t="str">
        <f>'Initial data collection sheet'!A346</f>
        <v>Cumulus K</v>
      </c>
      <c r="B175" s="604">
        <f>'Initial data collection sheet'!H346</f>
        <v>0</v>
      </c>
      <c r="C175" s="604">
        <v>0</v>
      </c>
      <c r="D175" s="607">
        <f>'Initial data collection sheet'!H346*'Initial data collection sheet'!N346</f>
        <v>0</v>
      </c>
      <c r="E175" s="607">
        <f>'Initial data collection sheet'!H346*'Initial data collection sheet'!O346</f>
        <v>0</v>
      </c>
      <c r="F175" s="607">
        <f>'Initial data collection sheet'!H346*'Initial data collection sheet'!P346</f>
        <v>0</v>
      </c>
      <c r="G175" s="608">
        <v>0</v>
      </c>
      <c r="H175" s="608">
        <v>0</v>
      </c>
      <c r="I175" s="765">
        <v>0</v>
      </c>
      <c r="J175" s="315"/>
    </row>
    <row r="176" spans="1:10">
      <c r="A176" s="606" t="str">
        <f>'Initial data collection sheet'!A347</f>
        <v>Kali Vinasse</v>
      </c>
      <c r="B176" s="604">
        <f>'Initial data collection sheet'!H347</f>
        <v>0</v>
      </c>
      <c r="C176" s="604">
        <v>0</v>
      </c>
      <c r="D176" s="607">
        <f>'Initial data collection sheet'!H347*'Initial data collection sheet'!N347</f>
        <v>0</v>
      </c>
      <c r="E176" s="607">
        <f>'Initial data collection sheet'!H347*'Initial data collection sheet'!O347</f>
        <v>0</v>
      </c>
      <c r="F176" s="607">
        <f>'Initial data collection sheet'!H347*'Initial data collection sheet'!P347</f>
        <v>0</v>
      </c>
      <c r="G176" s="608">
        <v>0</v>
      </c>
      <c r="H176" s="608">
        <v>0</v>
      </c>
      <c r="I176" s="765">
        <v>0</v>
      </c>
      <c r="J176" s="315"/>
    </row>
    <row r="177" spans="1:10">
      <c r="A177" s="606" t="str">
        <f>'Initial data collection sheet'!A348</f>
        <v>Patent Kali</v>
      </c>
      <c r="B177" s="604">
        <f>'Initial data collection sheet'!H348</f>
        <v>0</v>
      </c>
      <c r="C177" s="604">
        <v>0</v>
      </c>
      <c r="D177" s="607">
        <f>'Initial data collection sheet'!H348*'Initial data collection sheet'!N348</f>
        <v>0</v>
      </c>
      <c r="E177" s="607">
        <f>'Initial data collection sheet'!H348*'Initial data collection sheet'!O348</f>
        <v>0</v>
      </c>
      <c r="F177" s="607">
        <f>'Initial data collection sheet'!H348*'Initial data collection sheet'!P348</f>
        <v>0</v>
      </c>
      <c r="G177" s="608">
        <v>0</v>
      </c>
      <c r="H177" s="608">
        <v>0</v>
      </c>
      <c r="I177" s="765">
        <v>0</v>
      </c>
      <c r="J177" s="315"/>
    </row>
    <row r="178" spans="1:10">
      <c r="A178" s="606"/>
      <c r="B178" s="604"/>
      <c r="C178" s="604"/>
      <c r="D178" s="607"/>
      <c r="E178" s="607"/>
      <c r="F178" s="607"/>
      <c r="G178" s="608"/>
      <c r="H178" s="608"/>
      <c r="I178" s="765"/>
      <c r="J178" s="315"/>
    </row>
    <row r="179" spans="1:10">
      <c r="A179" s="603" t="str">
        <f>'Initial data collection sheet'!A350</f>
        <v>Other fertilisers</v>
      </c>
      <c r="B179" s="604"/>
      <c r="C179" s="604"/>
      <c r="D179" s="607"/>
      <c r="E179" s="607"/>
      <c r="F179" s="607"/>
      <c r="G179" s="608"/>
      <c r="H179" s="608"/>
      <c r="I179" s="765"/>
      <c r="J179" s="315"/>
    </row>
    <row r="180" spans="1:10">
      <c r="A180" s="606" t="str">
        <f>'Initial data collection sheet'!A351</f>
        <v>Steelmaking slag</v>
      </c>
      <c r="B180" s="604">
        <f>'Initial data collection sheet'!H351</f>
        <v>0</v>
      </c>
      <c r="C180" s="604">
        <v>0</v>
      </c>
      <c r="D180" s="607">
        <f>'Initial data collection sheet'!H351*'Initial data collection sheet'!N351</f>
        <v>0</v>
      </c>
      <c r="E180" s="607">
        <f>'Initial data collection sheet'!H351*'Initial data collection sheet'!O351</f>
        <v>0</v>
      </c>
      <c r="F180" s="607">
        <f>'Initial data collection sheet'!H351*'Initial data collection sheet'!P351</f>
        <v>0</v>
      </c>
      <c r="G180" s="608">
        <v>0</v>
      </c>
      <c r="H180" s="608">
        <v>0</v>
      </c>
      <c r="I180" s="765">
        <v>0</v>
      </c>
      <c r="J180" s="315"/>
    </row>
    <row r="181" spans="1:10">
      <c r="A181" s="606" t="str">
        <f>'Initial data collection sheet'!A352</f>
        <v>Ashed poultry manure</v>
      </c>
      <c r="B181" s="604">
        <f>'Initial data collection sheet'!H352</f>
        <v>0</v>
      </c>
      <c r="C181" s="604">
        <v>0</v>
      </c>
      <c r="D181" s="607">
        <f>'Initial data collection sheet'!H352*'Initial data collection sheet'!N352</f>
        <v>0</v>
      </c>
      <c r="E181" s="607">
        <f>'Initial data collection sheet'!H352*'Initial data collection sheet'!O352</f>
        <v>0</v>
      </c>
      <c r="F181" s="607">
        <f>'Initial data collection sheet'!H352*'Initial data collection sheet'!P352</f>
        <v>0</v>
      </c>
      <c r="G181" s="608">
        <v>0</v>
      </c>
      <c r="H181" s="608">
        <v>0</v>
      </c>
      <c r="I181" s="765">
        <v>0</v>
      </c>
      <c r="J181" s="315"/>
    </row>
    <row r="182" spans="1:10">
      <c r="A182" s="606" t="str">
        <f>'Initial data collection sheet'!A353</f>
        <v>Lime / other applications to affect soil ph</v>
      </c>
      <c r="B182" s="604">
        <f>'Initial data collection sheet'!H353</f>
        <v>0</v>
      </c>
      <c r="C182" s="604">
        <v>0</v>
      </c>
      <c r="D182" s="607">
        <f>'Initial data collection sheet'!H353*'Initial data collection sheet'!N353</f>
        <v>0</v>
      </c>
      <c r="E182" s="607">
        <f>'Initial data collection sheet'!H353*'Initial data collection sheet'!O353</f>
        <v>0</v>
      </c>
      <c r="F182" s="607">
        <f>'Initial data collection sheet'!H353*'Initial data collection sheet'!P353</f>
        <v>0</v>
      </c>
      <c r="G182" s="608">
        <v>0</v>
      </c>
      <c r="H182" s="608">
        <v>0</v>
      </c>
      <c r="I182" s="765">
        <v>0</v>
      </c>
      <c r="J182" s="315"/>
    </row>
    <row r="183" spans="1:10">
      <c r="A183" s="606" t="str">
        <f>'Initial data collection sheet'!A354</f>
        <v xml:space="preserve">Other fertilisers  </v>
      </c>
      <c r="B183" s="604">
        <f>'Initial data collection sheet'!H354</f>
        <v>0</v>
      </c>
      <c r="C183" s="604">
        <v>0</v>
      </c>
      <c r="D183" s="607">
        <f>'Initial data collection sheet'!H354*'Initial data collection sheet'!N354</f>
        <v>0</v>
      </c>
      <c r="E183" s="607">
        <f>'Initial data collection sheet'!H354*'Initial data collection sheet'!O354</f>
        <v>0</v>
      </c>
      <c r="F183" s="607">
        <f>'Initial data collection sheet'!H354*'Initial data collection sheet'!P354</f>
        <v>0</v>
      </c>
      <c r="G183" s="608">
        <v>0</v>
      </c>
      <c r="H183" s="608">
        <v>0</v>
      </c>
      <c r="I183" s="765">
        <v>0</v>
      </c>
      <c r="J183" s="315"/>
    </row>
    <row r="184" spans="1:10">
      <c r="A184" s="606" t="str">
        <f>'Initial data collection sheet'!A355</f>
        <v xml:space="preserve">Other fertilisers </v>
      </c>
      <c r="B184" s="604">
        <f>'Initial data collection sheet'!H355</f>
        <v>0</v>
      </c>
      <c r="C184" s="604">
        <v>0</v>
      </c>
      <c r="D184" s="607">
        <f>'Initial data collection sheet'!H355*'Initial data collection sheet'!N355</f>
        <v>0</v>
      </c>
      <c r="E184" s="607">
        <f>'Initial data collection sheet'!H355*'Initial data collection sheet'!O355</f>
        <v>0</v>
      </c>
      <c r="F184" s="607">
        <f>'Initial data collection sheet'!H355*'Initial data collection sheet'!P355</f>
        <v>0</v>
      </c>
      <c r="G184" s="608">
        <v>0</v>
      </c>
      <c r="H184" s="608">
        <v>0</v>
      </c>
      <c r="I184" s="765">
        <v>0</v>
      </c>
      <c r="J184" s="315"/>
    </row>
    <row r="185" spans="1:10">
      <c r="A185" s="606" t="str">
        <f>'Initial data collection sheet'!A356</f>
        <v xml:space="preserve">Other fertilisers </v>
      </c>
      <c r="B185" s="604">
        <f>'Initial data collection sheet'!H356</f>
        <v>0</v>
      </c>
      <c r="C185" s="604">
        <v>0</v>
      </c>
      <c r="D185" s="607">
        <f>'Initial data collection sheet'!H356*'Initial data collection sheet'!N356</f>
        <v>0</v>
      </c>
      <c r="E185" s="607">
        <f>'Initial data collection sheet'!H356*'Initial data collection sheet'!O356</f>
        <v>0</v>
      </c>
      <c r="F185" s="607">
        <f>'Initial data collection sheet'!H356*'Initial data collection sheet'!P356</f>
        <v>0</v>
      </c>
      <c r="G185" s="608">
        <v>0</v>
      </c>
      <c r="H185" s="608">
        <v>0</v>
      </c>
      <c r="I185" s="765">
        <v>0</v>
      </c>
      <c r="J185" s="315"/>
    </row>
    <row r="186" spans="1:10">
      <c r="A186" s="606"/>
      <c r="B186" s="604"/>
      <c r="C186" s="604"/>
      <c r="D186" s="607"/>
      <c r="E186" s="607"/>
      <c r="F186" s="607"/>
      <c r="G186" s="608"/>
      <c r="H186" s="608"/>
      <c r="I186" s="765"/>
      <c r="J186" s="315"/>
    </row>
    <row r="187" spans="1:10">
      <c r="A187" s="603" t="s">
        <v>416</v>
      </c>
      <c r="B187" s="604"/>
      <c r="C187" s="604"/>
      <c r="D187" s="607"/>
      <c r="E187" s="607"/>
      <c r="F187" s="607"/>
      <c r="G187" s="608"/>
      <c r="H187" s="608"/>
      <c r="I187" s="765"/>
      <c r="J187" s="315"/>
    </row>
    <row r="188" spans="1:10">
      <c r="A188" s="606" t="str">
        <f>'Initial data collection sheet'!A113</f>
        <v xml:space="preserve">Dairy Cow </v>
      </c>
      <c r="B188" s="604">
        <f>'Initial data collection sheet'!H113*'Initial data collection sheet'!AH113</f>
        <v>0</v>
      </c>
      <c r="C188" s="604">
        <f>'Initial data collection sheet'!I113*'Initial data collection sheet'!AH113</f>
        <v>0</v>
      </c>
      <c r="D188" s="607">
        <f>'Initial data collection sheet'!H113*'Initial data collection sheet'!N113</f>
        <v>0</v>
      </c>
      <c r="E188" s="607">
        <f>'Initial data collection sheet'!H113*'Initial data collection sheet'!O113</f>
        <v>0</v>
      </c>
      <c r="F188" s="607">
        <f>'Initial data collection sheet'!H113*'Initial data collection sheet'!P113</f>
        <v>0</v>
      </c>
      <c r="G188" s="608">
        <f>'Initial data collection sheet'!I113*'Initial data collection sheet'!N113</f>
        <v>0</v>
      </c>
      <c r="H188" s="608">
        <f>'Initial data collection sheet'!I113*'Initial data collection sheet'!O113</f>
        <v>0</v>
      </c>
      <c r="I188" s="765">
        <f>'Initial data collection sheet'!I113*'Initial data collection sheet'!P113</f>
        <v>0</v>
      </c>
      <c r="J188" s="315"/>
    </row>
    <row r="189" spans="1:10">
      <c r="A189" s="606" t="str">
        <f>'Initial data collection sheet'!A114</f>
        <v>Dairy Heifer (in calf)</v>
      </c>
      <c r="B189" s="604">
        <f>'Initial data collection sheet'!H114*'Initial data collection sheet'!AH114</f>
        <v>0</v>
      </c>
      <c r="C189" s="604">
        <f>'Initial data collection sheet'!I114*'Initial data collection sheet'!AH114</f>
        <v>0</v>
      </c>
      <c r="D189" s="607">
        <f>'Initial data collection sheet'!H114*'Initial data collection sheet'!N114</f>
        <v>0</v>
      </c>
      <c r="E189" s="607">
        <f>'Initial data collection sheet'!H114*'Initial data collection sheet'!O114</f>
        <v>0</v>
      </c>
      <c r="F189" s="607">
        <f>'Initial data collection sheet'!H114*'Initial data collection sheet'!P114</f>
        <v>0</v>
      </c>
      <c r="G189" s="608">
        <f>'Initial data collection sheet'!I114*'Initial data collection sheet'!N114</f>
        <v>0</v>
      </c>
      <c r="H189" s="608">
        <f>'Initial data collection sheet'!I114*'Initial data collection sheet'!O114</f>
        <v>0</v>
      </c>
      <c r="I189" s="765">
        <f>'Initial data collection sheet'!I114*'Initial data collection sheet'!P114</f>
        <v>0</v>
      </c>
      <c r="J189" s="315"/>
    </row>
    <row r="190" spans="1:10">
      <c r="A190" s="606" t="str">
        <f>'Initial data collection sheet'!A115</f>
        <v>Dairy cull calf 0-3 months</v>
      </c>
      <c r="B190" s="604">
        <f>'Initial data collection sheet'!H115*'Initial data collection sheet'!AH115</f>
        <v>0</v>
      </c>
      <c r="C190" s="604">
        <f>'Initial data collection sheet'!I115*'Initial data collection sheet'!AH115</f>
        <v>0</v>
      </c>
      <c r="D190" s="607">
        <f>'Initial data collection sheet'!H115*'Initial data collection sheet'!N115</f>
        <v>0</v>
      </c>
      <c r="E190" s="607">
        <f>'Initial data collection sheet'!H115*'Initial data collection sheet'!O115</f>
        <v>0</v>
      </c>
      <c r="F190" s="607">
        <f>'Initial data collection sheet'!H115*'Initial data collection sheet'!P115</f>
        <v>0</v>
      </c>
      <c r="G190" s="608">
        <f>'Initial data collection sheet'!I115*'Initial data collection sheet'!N115</f>
        <v>0</v>
      </c>
      <c r="H190" s="608">
        <f>'Initial data collection sheet'!I115*'Initial data collection sheet'!O115</f>
        <v>0</v>
      </c>
      <c r="I190" s="765">
        <f>'Initial data collection sheet'!I115*'Initial data collection sheet'!P115</f>
        <v>0</v>
      </c>
      <c r="J190" s="315"/>
    </row>
    <row r="191" spans="1:10">
      <c r="A191" s="606" t="str">
        <f>'Initial data collection sheet'!A120</f>
        <v>Suckler cow</v>
      </c>
      <c r="B191" s="604">
        <f>'Initial data collection sheet'!H120*'Initial data collection sheet'!AH120</f>
        <v>0</v>
      </c>
      <c r="C191" s="604">
        <f>'Initial data collection sheet'!I120*'Initial data collection sheet'!AH120</f>
        <v>0</v>
      </c>
      <c r="D191" s="607">
        <f>'Initial data collection sheet'!H120*'Initial data collection sheet'!N120</f>
        <v>0</v>
      </c>
      <c r="E191" s="607">
        <f>'Initial data collection sheet'!H120*'Initial data collection sheet'!O120</f>
        <v>0</v>
      </c>
      <c r="F191" s="607">
        <f>'Initial data collection sheet'!H120*'Initial data collection sheet'!P120</f>
        <v>0</v>
      </c>
      <c r="G191" s="608">
        <f>'Initial data collection sheet'!I120*'Initial data collection sheet'!N120</f>
        <v>0</v>
      </c>
      <c r="H191" s="608">
        <f>'Initial data collection sheet'!I120*'Initial data collection sheet'!O120</f>
        <v>0</v>
      </c>
      <c r="I191" s="765">
        <f>'Initial data collection sheet'!I120*'Initial data collection sheet'!P120</f>
        <v>0</v>
      </c>
      <c r="J191" s="315"/>
    </row>
    <row r="192" spans="1:10">
      <c r="A192" s="606" t="str">
        <f>'Initial data collection sheet'!A121</f>
        <v>Beef calf 0-6 months</v>
      </c>
      <c r="B192" s="604">
        <f>'Initial data collection sheet'!H121*'Initial data collection sheet'!AH121</f>
        <v>0</v>
      </c>
      <c r="C192" s="604">
        <f>'Initial data collection sheet'!I121*'Initial data collection sheet'!AH121</f>
        <v>0</v>
      </c>
      <c r="D192" s="607">
        <f>'Initial data collection sheet'!H121*'Initial data collection sheet'!N121</f>
        <v>0</v>
      </c>
      <c r="E192" s="607">
        <f>'Initial data collection sheet'!H121*'Initial data collection sheet'!O121</f>
        <v>0</v>
      </c>
      <c r="F192" s="607">
        <f>'Initial data collection sheet'!H121*'Initial data collection sheet'!P121</f>
        <v>0</v>
      </c>
      <c r="G192" s="608">
        <f>'Initial data collection sheet'!I121*'Initial data collection sheet'!N121</f>
        <v>0</v>
      </c>
      <c r="H192" s="608">
        <f>'Initial data collection sheet'!I121*'Initial data collection sheet'!O121</f>
        <v>0</v>
      </c>
      <c r="I192" s="765">
        <f>'Initial data collection sheet'!I121*'Initial data collection sheet'!P121</f>
        <v>0</v>
      </c>
      <c r="J192" s="315"/>
    </row>
    <row r="193" spans="1:10">
      <c r="A193" s="606" t="str">
        <f>'Initial data collection sheet'!A122</f>
        <v>Beef calf 6-12 months</v>
      </c>
      <c r="B193" s="604">
        <f>'Initial data collection sheet'!H122*'Initial data collection sheet'!AH122</f>
        <v>0</v>
      </c>
      <c r="C193" s="604">
        <f>'Initial data collection sheet'!I122*'Initial data collection sheet'!AH122</f>
        <v>0</v>
      </c>
      <c r="D193" s="607">
        <f>'Initial data collection sheet'!H122*'Initial data collection sheet'!N122</f>
        <v>0</v>
      </c>
      <c r="E193" s="607">
        <f>'Initial data collection sheet'!H122*'Initial data collection sheet'!O122</f>
        <v>0</v>
      </c>
      <c r="F193" s="607">
        <f>'Initial data collection sheet'!H122*'Initial data collection sheet'!P122</f>
        <v>0</v>
      </c>
      <c r="G193" s="608">
        <f>'Initial data collection sheet'!I122*'Initial data collection sheet'!N122</f>
        <v>0</v>
      </c>
      <c r="H193" s="608">
        <f>'Initial data collection sheet'!I122*'Initial data collection sheet'!O122</f>
        <v>0</v>
      </c>
      <c r="I193" s="765">
        <f>'Initial data collection sheet'!I122*'Initial data collection sheet'!P122</f>
        <v>0</v>
      </c>
      <c r="J193" s="315"/>
    </row>
    <row r="194" spans="1:10">
      <c r="A194" s="606" t="str">
        <f>'Initial data collection sheet'!A123</f>
        <v>Beef cattle 12-24 months</v>
      </c>
      <c r="B194" s="604">
        <f>'Initial data collection sheet'!H123*'Initial data collection sheet'!AH123</f>
        <v>0</v>
      </c>
      <c r="C194" s="604">
        <f>'Initial data collection sheet'!I123*'Initial data collection sheet'!AH123</f>
        <v>0</v>
      </c>
      <c r="D194" s="607">
        <f>'Initial data collection sheet'!H123*'Initial data collection sheet'!N123</f>
        <v>0</v>
      </c>
      <c r="E194" s="607">
        <f>'Initial data collection sheet'!H123*'Initial data collection sheet'!O123</f>
        <v>0</v>
      </c>
      <c r="F194" s="607">
        <f>'Initial data collection sheet'!H123*'Initial data collection sheet'!P123</f>
        <v>0</v>
      </c>
      <c r="G194" s="608">
        <f>'Initial data collection sheet'!I123*'Initial data collection sheet'!N123</f>
        <v>0</v>
      </c>
      <c r="H194" s="608">
        <f>'Initial data collection sheet'!I123*'Initial data collection sheet'!O123</f>
        <v>0</v>
      </c>
      <c r="I194" s="765">
        <f>'Initial data collection sheet'!I123*'Initial data collection sheet'!P123</f>
        <v>0</v>
      </c>
      <c r="J194" s="315"/>
    </row>
    <row r="195" spans="1:10">
      <c r="A195" s="606" t="str">
        <f>'Initial data collection sheet'!A124</f>
        <v>Beef cattle over 24 months</v>
      </c>
      <c r="B195" s="604">
        <f>'Initial data collection sheet'!H124*'Initial data collection sheet'!AH124</f>
        <v>0</v>
      </c>
      <c r="C195" s="604">
        <f>'Initial data collection sheet'!I124*'Initial data collection sheet'!AH124</f>
        <v>0</v>
      </c>
      <c r="D195" s="607">
        <f>'Initial data collection sheet'!H124*'Initial data collection sheet'!N124</f>
        <v>0</v>
      </c>
      <c r="E195" s="607">
        <f>'Initial data collection sheet'!H124*'Initial data collection sheet'!O124</f>
        <v>0</v>
      </c>
      <c r="F195" s="607">
        <f>'Initial data collection sheet'!H124*'Initial data collection sheet'!P124</f>
        <v>0</v>
      </c>
      <c r="G195" s="608">
        <f>'Initial data collection sheet'!I124*'Initial data collection sheet'!N124</f>
        <v>0</v>
      </c>
      <c r="H195" s="608">
        <f>'Initial data collection sheet'!I124*'Initial data collection sheet'!O124</f>
        <v>0</v>
      </c>
      <c r="I195" s="765">
        <f>'Initial data collection sheet'!I124*'Initial data collection sheet'!P124</f>
        <v>0</v>
      </c>
      <c r="J195" s="315"/>
    </row>
    <row r="196" spans="1:10">
      <c r="A196" s="606" t="str">
        <f>'Initial data collection sheet'!A125</f>
        <v>Breeding bull</v>
      </c>
      <c r="B196" s="604">
        <f>'Initial data collection sheet'!H125*'Initial data collection sheet'!AH125</f>
        <v>0</v>
      </c>
      <c r="C196" s="604">
        <f>'Initial data collection sheet'!I125*'Initial data collection sheet'!AH125</f>
        <v>0</v>
      </c>
      <c r="D196" s="607">
        <f>'Initial data collection sheet'!H125*'Initial data collection sheet'!N125</f>
        <v>0</v>
      </c>
      <c r="E196" s="607">
        <f>'Initial data collection sheet'!H125*'Initial data collection sheet'!O125</f>
        <v>0</v>
      </c>
      <c r="F196" s="607">
        <f>'Initial data collection sheet'!H125*'Initial data collection sheet'!P125</f>
        <v>0</v>
      </c>
      <c r="G196" s="608">
        <f>'Initial data collection sheet'!I125*'Initial data collection sheet'!N125</f>
        <v>0</v>
      </c>
      <c r="H196" s="608">
        <f>'Initial data collection sheet'!I125*'Initial data collection sheet'!O125</f>
        <v>0</v>
      </c>
      <c r="I196" s="765">
        <f>'Initial data collection sheet'!I125*'Initial data collection sheet'!P125</f>
        <v>0</v>
      </c>
      <c r="J196" s="315"/>
    </row>
    <row r="197" spans="1:10">
      <c r="A197" s="606" t="str">
        <f>'Initial data collection sheet'!A126</f>
        <v>Ewes</v>
      </c>
      <c r="B197" s="604">
        <f>'Initial data collection sheet'!H126*'Initial data collection sheet'!AH126</f>
        <v>0</v>
      </c>
      <c r="C197" s="604">
        <f>'Initial data collection sheet'!I126*'Initial data collection sheet'!AH126</f>
        <v>0</v>
      </c>
      <c r="D197" s="607">
        <f>'Initial data collection sheet'!H126*'Initial data collection sheet'!N126</f>
        <v>0</v>
      </c>
      <c r="E197" s="607">
        <f>'Initial data collection sheet'!H126*'Initial data collection sheet'!O126</f>
        <v>0</v>
      </c>
      <c r="F197" s="607">
        <f>'Initial data collection sheet'!H126*'Initial data collection sheet'!P126</f>
        <v>0</v>
      </c>
      <c r="G197" s="608">
        <f>'Initial data collection sheet'!I126*'Initial data collection sheet'!N126</f>
        <v>0</v>
      </c>
      <c r="H197" s="608">
        <f>'Initial data collection sheet'!I126*'Initial data collection sheet'!O126</f>
        <v>0</v>
      </c>
      <c r="I197" s="765">
        <f>'Initial data collection sheet'!I126*'Initial data collection sheet'!P126</f>
        <v>0</v>
      </c>
      <c r="J197" s="315"/>
    </row>
    <row r="198" spans="1:10">
      <c r="A198" s="606" t="str">
        <f>'Initial data collection sheet'!A127</f>
        <v>Lambs</v>
      </c>
      <c r="B198" s="604">
        <f>'Initial data collection sheet'!H127*'Initial data collection sheet'!AH127</f>
        <v>0</v>
      </c>
      <c r="C198" s="604">
        <f>'Initial data collection sheet'!I127*'Initial data collection sheet'!AH127</f>
        <v>0</v>
      </c>
      <c r="D198" s="607">
        <f>'Initial data collection sheet'!H127*'Initial data collection sheet'!N127</f>
        <v>0</v>
      </c>
      <c r="E198" s="607">
        <f>'Initial data collection sheet'!H127*'Initial data collection sheet'!O127</f>
        <v>0</v>
      </c>
      <c r="F198" s="607">
        <f>'Initial data collection sheet'!H127*'Initial data collection sheet'!P127</f>
        <v>0</v>
      </c>
      <c r="G198" s="608">
        <f>'Initial data collection sheet'!I127*'Initial data collection sheet'!N127</f>
        <v>0</v>
      </c>
      <c r="H198" s="608">
        <f>'Initial data collection sheet'!I127*'Initial data collection sheet'!O127</f>
        <v>0</v>
      </c>
      <c r="I198" s="765">
        <f>'Initial data collection sheet'!I127*'Initial data collection sheet'!P127</f>
        <v>0</v>
      </c>
      <c r="J198" s="315"/>
    </row>
    <row r="199" spans="1:10">
      <c r="A199" s="606" t="str">
        <f>'Initial data collection sheet'!A128</f>
        <v>Hoggets</v>
      </c>
      <c r="B199" s="604">
        <f>'Initial data collection sheet'!H128*'Initial data collection sheet'!AH128</f>
        <v>0</v>
      </c>
      <c r="C199" s="604">
        <f>'Initial data collection sheet'!I128*'Initial data collection sheet'!AH128</f>
        <v>0</v>
      </c>
      <c r="D199" s="607">
        <f>'Initial data collection sheet'!H128*'Initial data collection sheet'!N128</f>
        <v>0</v>
      </c>
      <c r="E199" s="607">
        <f>'Initial data collection sheet'!H128*'Initial data collection sheet'!O128</f>
        <v>0</v>
      </c>
      <c r="F199" s="607">
        <f>'Initial data collection sheet'!H128*'Initial data collection sheet'!P128</f>
        <v>0</v>
      </c>
      <c r="G199" s="608">
        <f>'Initial data collection sheet'!I128*'Initial data collection sheet'!N128</f>
        <v>0</v>
      </c>
      <c r="H199" s="608">
        <f>'Initial data collection sheet'!I128*'Initial data collection sheet'!O128</f>
        <v>0</v>
      </c>
      <c r="I199" s="765">
        <f>'Initial data collection sheet'!I128*'Initial data collection sheet'!P128</f>
        <v>0</v>
      </c>
      <c r="J199" s="315"/>
    </row>
    <row r="200" spans="1:10">
      <c r="A200" s="606" t="str">
        <f>'Initial data collection sheet'!A129</f>
        <v>Rams</v>
      </c>
      <c r="B200" s="604">
        <f>'Initial data collection sheet'!H129*'Initial data collection sheet'!AH129</f>
        <v>0</v>
      </c>
      <c r="C200" s="604">
        <f>'Initial data collection sheet'!I129*'Initial data collection sheet'!AH129</f>
        <v>0</v>
      </c>
      <c r="D200" s="607">
        <f>'Initial data collection sheet'!H129*'Initial data collection sheet'!N129</f>
        <v>0</v>
      </c>
      <c r="E200" s="607">
        <f>'Initial data collection sheet'!H129*'Initial data collection sheet'!O129</f>
        <v>0</v>
      </c>
      <c r="F200" s="607">
        <f>'Initial data collection sheet'!H129*'Initial data collection sheet'!P129</f>
        <v>0</v>
      </c>
      <c r="G200" s="608">
        <f>'Initial data collection sheet'!I129*'Initial data collection sheet'!N129</f>
        <v>0</v>
      </c>
      <c r="H200" s="608">
        <f>'Initial data collection sheet'!I129*'Initial data collection sheet'!O129</f>
        <v>0</v>
      </c>
      <c r="I200" s="765">
        <f>'Initial data collection sheet'!I129*'Initial data collection sheet'!P129</f>
        <v>0</v>
      </c>
      <c r="J200" s="315"/>
    </row>
    <row r="201" spans="1:10">
      <c r="A201" s="606" t="str">
        <f>'Initial data collection sheet'!A130</f>
        <v xml:space="preserve">Sows </v>
      </c>
      <c r="B201" s="604">
        <f>'Initial data collection sheet'!H130*'Initial data collection sheet'!AH130</f>
        <v>0</v>
      </c>
      <c r="C201" s="604">
        <f>'Initial data collection sheet'!I130*'Initial data collection sheet'!AH130</f>
        <v>0</v>
      </c>
      <c r="D201" s="607">
        <f>'Initial data collection sheet'!H130*'Initial data collection sheet'!N130</f>
        <v>0</v>
      </c>
      <c r="E201" s="607">
        <f>'Initial data collection sheet'!H130*'Initial data collection sheet'!O130</f>
        <v>0</v>
      </c>
      <c r="F201" s="607">
        <f>'Initial data collection sheet'!H130*'Initial data collection sheet'!P130</f>
        <v>0</v>
      </c>
      <c r="G201" s="608">
        <f>'Initial data collection sheet'!I130*'Initial data collection sheet'!N130</f>
        <v>0</v>
      </c>
      <c r="H201" s="608">
        <f>'Initial data collection sheet'!I130*'Initial data collection sheet'!O130</f>
        <v>0</v>
      </c>
      <c r="I201" s="765">
        <f>'Initial data collection sheet'!I130*'Initial data collection sheet'!P130</f>
        <v>0</v>
      </c>
      <c r="J201" s="315"/>
    </row>
    <row r="202" spans="1:10">
      <c r="A202" s="606" t="str">
        <f>'Initial data collection sheet'!A131</f>
        <v>Weaners 3.5 weeks</v>
      </c>
      <c r="B202" s="604">
        <f>'Initial data collection sheet'!H131*'Initial data collection sheet'!AH131</f>
        <v>0</v>
      </c>
      <c r="C202" s="604">
        <f>'Initial data collection sheet'!I131*'Initial data collection sheet'!AH131</f>
        <v>0</v>
      </c>
      <c r="D202" s="607">
        <f>'Initial data collection sheet'!H131*'Initial data collection sheet'!N131</f>
        <v>0</v>
      </c>
      <c r="E202" s="607">
        <f>'Initial data collection sheet'!H131*'Initial data collection sheet'!O131</f>
        <v>0</v>
      </c>
      <c r="F202" s="607">
        <f>'Initial data collection sheet'!H131*'Initial data collection sheet'!P131</f>
        <v>0</v>
      </c>
      <c r="G202" s="608">
        <f>'Initial data collection sheet'!I131*'Initial data collection sheet'!N131</f>
        <v>0</v>
      </c>
      <c r="H202" s="608">
        <f>'Initial data collection sheet'!I131*'Initial data collection sheet'!O131</f>
        <v>0</v>
      </c>
      <c r="I202" s="765">
        <f>'Initial data collection sheet'!I131*'Initial data collection sheet'!P131</f>
        <v>0</v>
      </c>
      <c r="J202" s="315"/>
    </row>
    <row r="203" spans="1:10">
      <c r="A203" s="606" t="str">
        <f>'Initial data collection sheet'!A132</f>
        <v>Growers 7.5 weeks</v>
      </c>
      <c r="B203" s="604">
        <f>'Initial data collection sheet'!H132*'Initial data collection sheet'!AH132</f>
        <v>0</v>
      </c>
      <c r="C203" s="604">
        <f>'Initial data collection sheet'!I132*'Initial data collection sheet'!AH132</f>
        <v>0</v>
      </c>
      <c r="D203" s="607">
        <f>'Initial data collection sheet'!H132*'Initial data collection sheet'!N132</f>
        <v>0</v>
      </c>
      <c r="E203" s="607">
        <f>'Initial data collection sheet'!H132*'Initial data collection sheet'!O132</f>
        <v>0</v>
      </c>
      <c r="F203" s="607">
        <f>'Initial data collection sheet'!H132*'Initial data collection sheet'!P132</f>
        <v>0</v>
      </c>
      <c r="G203" s="608">
        <f>'Initial data collection sheet'!I132*'Initial data collection sheet'!N132</f>
        <v>0</v>
      </c>
      <c r="H203" s="608">
        <f>'Initial data collection sheet'!I132*'Initial data collection sheet'!O132</f>
        <v>0</v>
      </c>
      <c r="I203" s="765">
        <f>'Initial data collection sheet'!I132*'Initial data collection sheet'!P132</f>
        <v>0</v>
      </c>
      <c r="J203" s="315"/>
    </row>
    <row r="204" spans="1:10">
      <c r="A204" s="606" t="str">
        <f>'Initial data collection sheet'!A133</f>
        <v>Cutters 35-85</v>
      </c>
      <c r="B204" s="604">
        <f>'Initial data collection sheet'!H133*'Initial data collection sheet'!AH133</f>
        <v>0</v>
      </c>
      <c r="C204" s="604">
        <f>'Initial data collection sheet'!I133*'Initial data collection sheet'!AH133</f>
        <v>0</v>
      </c>
      <c r="D204" s="607">
        <f>'Initial data collection sheet'!H133*'Initial data collection sheet'!N133</f>
        <v>0</v>
      </c>
      <c r="E204" s="607">
        <f>'Initial data collection sheet'!H133*'Initial data collection sheet'!O133</f>
        <v>0</v>
      </c>
      <c r="F204" s="607">
        <f>'Initial data collection sheet'!H133*'Initial data collection sheet'!P133</f>
        <v>0</v>
      </c>
      <c r="G204" s="608">
        <f>'Initial data collection sheet'!I133*'Initial data collection sheet'!N133</f>
        <v>0</v>
      </c>
      <c r="H204" s="608">
        <f>'Initial data collection sheet'!I133*'Initial data collection sheet'!O133</f>
        <v>0</v>
      </c>
      <c r="I204" s="765">
        <f>'Initial data collection sheet'!I133*'Initial data collection sheet'!P133</f>
        <v>0</v>
      </c>
      <c r="J204" s="315"/>
    </row>
    <row r="205" spans="1:10">
      <c r="A205" s="606" t="str">
        <f>'Initial data collection sheet'!A134</f>
        <v>Baconer 35-105 kg</v>
      </c>
      <c r="B205" s="604">
        <f>'Initial data collection sheet'!H134*'Initial data collection sheet'!AH134</f>
        <v>0</v>
      </c>
      <c r="C205" s="604">
        <f>'Initial data collection sheet'!I134*'Initial data collection sheet'!AH134</f>
        <v>0</v>
      </c>
      <c r="D205" s="607">
        <f>'Initial data collection sheet'!H134*'Initial data collection sheet'!N134</f>
        <v>0</v>
      </c>
      <c r="E205" s="607">
        <f>'Initial data collection sheet'!H134*'Initial data collection sheet'!O134</f>
        <v>0</v>
      </c>
      <c r="F205" s="607">
        <f>'Initial data collection sheet'!H134*'Initial data collection sheet'!P134</f>
        <v>0</v>
      </c>
      <c r="G205" s="608">
        <f>'Initial data collection sheet'!I134*'Initial data collection sheet'!N134</f>
        <v>0</v>
      </c>
      <c r="H205" s="608">
        <f>'Initial data collection sheet'!I134*'Initial data collection sheet'!O134</f>
        <v>0</v>
      </c>
      <c r="I205" s="765">
        <f>'Initial data collection sheet'!I134*'Initial data collection sheet'!P134</f>
        <v>0</v>
      </c>
      <c r="J205" s="315"/>
    </row>
    <row r="206" spans="1:10">
      <c r="A206" s="606" t="str">
        <f>'Initial data collection sheet'!A135</f>
        <v>Gilts</v>
      </c>
      <c r="B206" s="604">
        <f>'Initial data collection sheet'!H135*'Initial data collection sheet'!AH135</f>
        <v>0</v>
      </c>
      <c r="C206" s="604">
        <f>'Initial data collection sheet'!I135*'Initial data collection sheet'!AH135</f>
        <v>0</v>
      </c>
      <c r="D206" s="607">
        <f>'Initial data collection sheet'!H135*'Initial data collection sheet'!N135</f>
        <v>0</v>
      </c>
      <c r="E206" s="607">
        <f>'Initial data collection sheet'!H135*'Initial data collection sheet'!O135</f>
        <v>0</v>
      </c>
      <c r="F206" s="607">
        <f>'Initial data collection sheet'!H135*'Initial data collection sheet'!P135</f>
        <v>0</v>
      </c>
      <c r="G206" s="608">
        <f>'Initial data collection sheet'!I135*'Initial data collection sheet'!N135</f>
        <v>0</v>
      </c>
      <c r="H206" s="608">
        <f>'Initial data collection sheet'!I135*'Initial data collection sheet'!O135</f>
        <v>0</v>
      </c>
      <c r="I206" s="765">
        <f>'Initial data collection sheet'!I135*'Initial data collection sheet'!P135</f>
        <v>0</v>
      </c>
      <c r="J206" s="315"/>
    </row>
    <row r="207" spans="1:10">
      <c r="A207" s="606" t="str">
        <f>'Initial data collection sheet'!A136</f>
        <v>Boars</v>
      </c>
      <c r="B207" s="604">
        <f>'Initial data collection sheet'!H136*'Initial data collection sheet'!AH136</f>
        <v>0</v>
      </c>
      <c r="C207" s="604">
        <f>'Initial data collection sheet'!I136*'Initial data collection sheet'!AH136</f>
        <v>0</v>
      </c>
      <c r="D207" s="607">
        <f>'Initial data collection sheet'!H136*'Initial data collection sheet'!N136</f>
        <v>0</v>
      </c>
      <c r="E207" s="607">
        <f>'Initial data collection sheet'!H136*'Initial data collection sheet'!O136</f>
        <v>0</v>
      </c>
      <c r="F207" s="607">
        <f>'Initial data collection sheet'!H136*'Initial data collection sheet'!P136</f>
        <v>0</v>
      </c>
      <c r="G207" s="608">
        <f>'Initial data collection sheet'!I136*'Initial data collection sheet'!N136</f>
        <v>0</v>
      </c>
      <c r="H207" s="608">
        <f>'Initial data collection sheet'!I136*'Initial data collection sheet'!O136</f>
        <v>0</v>
      </c>
      <c r="I207" s="765">
        <f>'Initial data collection sheet'!I136*'Initial data collection sheet'!P136</f>
        <v>0</v>
      </c>
      <c r="J207" s="315"/>
    </row>
    <row r="208" spans="1:10">
      <c r="A208" s="606" t="str">
        <f>'Initial data collection sheet'!A137</f>
        <v>Pullets to 18 weeks</v>
      </c>
      <c r="B208" s="604">
        <f>'Initial data collection sheet'!H137*'Initial data collection sheet'!AH137</f>
        <v>0</v>
      </c>
      <c r="C208" s="604">
        <f>'Initial data collection sheet'!I137*'Initial data collection sheet'!AH137</f>
        <v>0</v>
      </c>
      <c r="D208" s="607">
        <f>'Initial data collection sheet'!H137*'Initial data collection sheet'!N137</f>
        <v>0</v>
      </c>
      <c r="E208" s="607">
        <f>'Initial data collection sheet'!H137*'Initial data collection sheet'!O137</f>
        <v>0</v>
      </c>
      <c r="F208" s="607">
        <f>'Initial data collection sheet'!H137*'Initial data collection sheet'!P137</f>
        <v>0</v>
      </c>
      <c r="G208" s="608">
        <f>'Initial data collection sheet'!I137*'Initial data collection sheet'!N137</f>
        <v>0</v>
      </c>
      <c r="H208" s="608">
        <f>'Initial data collection sheet'!I137*'Initial data collection sheet'!O137</f>
        <v>0</v>
      </c>
      <c r="I208" s="765">
        <f>'Initial data collection sheet'!I137*'Initial data collection sheet'!P137</f>
        <v>0</v>
      </c>
      <c r="J208" s="315"/>
    </row>
    <row r="209" spans="1:10">
      <c r="A209" s="606" t="str">
        <f>'Initial data collection sheet'!A138</f>
        <v xml:space="preserve">Laying hens </v>
      </c>
      <c r="B209" s="604">
        <f>'Initial data collection sheet'!H138*'Initial data collection sheet'!AH138</f>
        <v>0</v>
      </c>
      <c r="C209" s="604">
        <f>'Initial data collection sheet'!I138*'Initial data collection sheet'!AH138</f>
        <v>0</v>
      </c>
      <c r="D209" s="607">
        <f>'Initial data collection sheet'!H138*'Initial data collection sheet'!N138</f>
        <v>0</v>
      </c>
      <c r="E209" s="607">
        <f>'Initial data collection sheet'!H138*'Initial data collection sheet'!O138</f>
        <v>0</v>
      </c>
      <c r="F209" s="607">
        <f>'Initial data collection sheet'!H138*'Initial data collection sheet'!P138</f>
        <v>0</v>
      </c>
      <c r="G209" s="608">
        <f>'Initial data collection sheet'!I138*'Initial data collection sheet'!N138</f>
        <v>0</v>
      </c>
      <c r="H209" s="608">
        <f>'Initial data collection sheet'!I138*'Initial data collection sheet'!O138</f>
        <v>0</v>
      </c>
      <c r="I209" s="765">
        <f>'Initial data collection sheet'!I138*'Initial data collection sheet'!P138</f>
        <v>0</v>
      </c>
      <c r="J209" s="315"/>
    </row>
    <row r="210" spans="1:10">
      <c r="A210" s="606" t="str">
        <f>'Initial data collection sheet'!A139</f>
        <v>Table birds</v>
      </c>
      <c r="B210" s="604">
        <f>'Initial data collection sheet'!H139*'Initial data collection sheet'!AH139</f>
        <v>0</v>
      </c>
      <c r="C210" s="604">
        <f>'Initial data collection sheet'!I139*'Initial data collection sheet'!AH139</f>
        <v>0</v>
      </c>
      <c r="D210" s="607">
        <f>'Initial data collection sheet'!H139*'Initial data collection sheet'!N139</f>
        <v>0</v>
      </c>
      <c r="E210" s="607">
        <f>'Initial data collection sheet'!H139*'Initial data collection sheet'!O139</f>
        <v>0</v>
      </c>
      <c r="F210" s="607">
        <f>'Initial data collection sheet'!H139*'Initial data collection sheet'!P139</f>
        <v>0</v>
      </c>
      <c r="G210" s="608">
        <f>'Initial data collection sheet'!I139*'Initial data collection sheet'!N139</f>
        <v>0</v>
      </c>
      <c r="H210" s="608">
        <f>'Initial data collection sheet'!I139*'Initial data collection sheet'!O139</f>
        <v>0</v>
      </c>
      <c r="I210" s="765">
        <f>'Initial data collection sheet'!I139*'Initial data collection sheet'!P139</f>
        <v>0</v>
      </c>
      <c r="J210" s="315"/>
    </row>
    <row r="211" spans="1:10">
      <c r="A211" s="606" t="str">
        <f>'Initial data collection sheet'!A140</f>
        <v>Turkeys males</v>
      </c>
      <c r="B211" s="604">
        <f>'Initial data collection sheet'!H140*'Initial data collection sheet'!AH140</f>
        <v>0</v>
      </c>
      <c r="C211" s="604">
        <f>'Initial data collection sheet'!I140*'Initial data collection sheet'!AH140</f>
        <v>0</v>
      </c>
      <c r="D211" s="607">
        <f>'Initial data collection sheet'!H140*'Initial data collection sheet'!N140</f>
        <v>0</v>
      </c>
      <c r="E211" s="607">
        <f>'Initial data collection sheet'!H140*'Initial data collection sheet'!O140</f>
        <v>0</v>
      </c>
      <c r="F211" s="607">
        <f>'Initial data collection sheet'!H140*'Initial data collection sheet'!P140</f>
        <v>0</v>
      </c>
      <c r="G211" s="608">
        <f>'Initial data collection sheet'!I140*'Initial data collection sheet'!N140</f>
        <v>0</v>
      </c>
      <c r="H211" s="608">
        <f>'Initial data collection sheet'!I140*'Initial data collection sheet'!O140</f>
        <v>0</v>
      </c>
      <c r="I211" s="765">
        <f>'Initial data collection sheet'!I140*'Initial data collection sheet'!P140</f>
        <v>0</v>
      </c>
      <c r="J211" s="315"/>
    </row>
    <row r="212" spans="1:10">
      <c r="A212" s="606" t="str">
        <f>'Initial data collection sheet'!A141</f>
        <v>Turkeys females</v>
      </c>
      <c r="B212" s="604">
        <f>'Initial data collection sheet'!H141*'Initial data collection sheet'!AH141</f>
        <v>0</v>
      </c>
      <c r="C212" s="604">
        <f>'Initial data collection sheet'!I141*'Initial data collection sheet'!AH141</f>
        <v>0</v>
      </c>
      <c r="D212" s="607">
        <f>'Initial data collection sheet'!H141*'Initial data collection sheet'!N141</f>
        <v>0</v>
      </c>
      <c r="E212" s="607">
        <f>'Initial data collection sheet'!H141*'Initial data collection sheet'!O141</f>
        <v>0</v>
      </c>
      <c r="F212" s="607">
        <f>'Initial data collection sheet'!H141*'Initial data collection sheet'!P141</f>
        <v>0</v>
      </c>
      <c r="G212" s="608">
        <f>'Initial data collection sheet'!I141*'Initial data collection sheet'!N141</f>
        <v>0</v>
      </c>
      <c r="H212" s="608">
        <f>'Initial data collection sheet'!I141*'Initial data collection sheet'!O141</f>
        <v>0</v>
      </c>
      <c r="I212" s="765">
        <f>'Initial data collection sheet'!I141*'Initial data collection sheet'!P141</f>
        <v>0</v>
      </c>
      <c r="J212" s="315"/>
    </row>
    <row r="213" spans="1:10">
      <c r="A213" s="606" t="str">
        <f>'Initial data collection sheet'!A142</f>
        <v>Ducks</v>
      </c>
      <c r="B213" s="604">
        <f>'Initial data collection sheet'!H142*'Initial data collection sheet'!AH142</f>
        <v>0</v>
      </c>
      <c r="C213" s="604">
        <f>'Initial data collection sheet'!I142*'Initial data collection sheet'!AH142</f>
        <v>0</v>
      </c>
      <c r="D213" s="607">
        <f>'Initial data collection sheet'!H142*'Initial data collection sheet'!N142</f>
        <v>0</v>
      </c>
      <c r="E213" s="607">
        <f>'Initial data collection sheet'!H142*'Initial data collection sheet'!O142</f>
        <v>0</v>
      </c>
      <c r="F213" s="607">
        <f>'Initial data collection sheet'!H142*'Initial data collection sheet'!P142</f>
        <v>0</v>
      </c>
      <c r="G213" s="608">
        <f>'Initial data collection sheet'!I142*'Initial data collection sheet'!N142</f>
        <v>0</v>
      </c>
      <c r="H213" s="608">
        <f>'Initial data collection sheet'!I142*'Initial data collection sheet'!O142</f>
        <v>0</v>
      </c>
      <c r="I213" s="765">
        <f>'Initial data collection sheet'!I142*'Initial data collection sheet'!P142</f>
        <v>0</v>
      </c>
      <c r="J213" s="315"/>
    </row>
    <row r="214" spans="1:10">
      <c r="A214" s="606" t="str">
        <f>'Initial data collection sheet'!A143</f>
        <v>Horses</v>
      </c>
      <c r="B214" s="604">
        <f>'Initial data collection sheet'!H143*'Initial data collection sheet'!AH143</f>
        <v>0</v>
      </c>
      <c r="C214" s="604">
        <f>'Initial data collection sheet'!I143*'Initial data collection sheet'!AH143</f>
        <v>0</v>
      </c>
      <c r="D214" s="607">
        <f>'Initial data collection sheet'!H143*'Initial data collection sheet'!N143</f>
        <v>0</v>
      </c>
      <c r="E214" s="607">
        <f>'Initial data collection sheet'!H143*'Initial data collection sheet'!O143</f>
        <v>0</v>
      </c>
      <c r="F214" s="607">
        <f>'Initial data collection sheet'!H143*'Initial data collection sheet'!P143</f>
        <v>0</v>
      </c>
      <c r="G214" s="608">
        <f>'Initial data collection sheet'!I143*'Initial data collection sheet'!N143</f>
        <v>0</v>
      </c>
      <c r="H214" s="608">
        <f>'Initial data collection sheet'!I143*'Initial data collection sheet'!O143</f>
        <v>0</v>
      </c>
      <c r="I214" s="765">
        <f>'Initial data collection sheet'!I143*'Initial data collection sheet'!P143</f>
        <v>0</v>
      </c>
      <c r="J214" s="315"/>
    </row>
    <row r="215" spans="1:10">
      <c r="A215" s="606" t="str">
        <f>'Initial data collection sheet'!A144</f>
        <v>Other</v>
      </c>
      <c r="B215" s="604">
        <f>'Initial data collection sheet'!H144*'Initial data collection sheet'!AH144</f>
        <v>0</v>
      </c>
      <c r="C215" s="604">
        <f>'Initial data collection sheet'!I144*'Initial data collection sheet'!AH144</f>
        <v>0</v>
      </c>
      <c r="D215" s="607">
        <f>'Initial data collection sheet'!H144*'Initial data collection sheet'!N144</f>
        <v>0</v>
      </c>
      <c r="E215" s="607">
        <f>'Initial data collection sheet'!H144*'Initial data collection sheet'!O144</f>
        <v>0</v>
      </c>
      <c r="F215" s="607">
        <f>'Initial data collection sheet'!H144*'Initial data collection sheet'!P144</f>
        <v>0</v>
      </c>
      <c r="G215" s="608">
        <f>'Initial data collection sheet'!I144*'Initial data collection sheet'!N144</f>
        <v>0</v>
      </c>
      <c r="H215" s="608">
        <f>'Initial data collection sheet'!I144*'Initial data collection sheet'!O144</f>
        <v>0</v>
      </c>
      <c r="I215" s="765">
        <f>'Initial data collection sheet'!I144*'Initial data collection sheet'!P144</f>
        <v>0</v>
      </c>
      <c r="J215" s="315"/>
    </row>
    <row r="216" spans="1:10">
      <c r="A216" s="606"/>
      <c r="B216" s="604"/>
      <c r="C216" s="604"/>
      <c r="D216" s="607"/>
      <c r="E216" s="607"/>
      <c r="F216" s="607"/>
      <c r="G216" s="608"/>
      <c r="H216" s="608"/>
      <c r="I216" s="765"/>
      <c r="J216" s="315"/>
    </row>
    <row r="217" spans="1:10">
      <c r="A217" s="603" t="s">
        <v>152</v>
      </c>
      <c r="B217" s="604"/>
      <c r="C217" s="604"/>
      <c r="D217" s="607"/>
      <c r="E217" s="607"/>
      <c r="F217" s="607"/>
      <c r="G217" s="608"/>
      <c r="H217" s="608"/>
      <c r="I217" s="765"/>
      <c r="J217" s="315"/>
    </row>
    <row r="218" spans="1:10">
      <c r="A218" s="603"/>
      <c r="B218" s="604"/>
      <c r="C218" s="604"/>
      <c r="D218" s="607"/>
      <c r="E218" s="607"/>
      <c r="F218" s="607"/>
      <c r="G218" s="608"/>
      <c r="H218" s="608"/>
      <c r="I218" s="765"/>
      <c r="J218" s="315"/>
    </row>
    <row r="219" spans="1:10">
      <c r="A219" s="606" t="str">
        <f>'Initial data collection sheet'!A147</f>
        <v>Eggs (dozens)</v>
      </c>
      <c r="B219" s="604">
        <f>'Initial data collection sheet'!H147*'Initial data collection sheet'!AH147</f>
        <v>0</v>
      </c>
      <c r="C219" s="604">
        <f>'Initial data collection sheet'!I147*'Initial data collection sheet'!AH147</f>
        <v>0</v>
      </c>
      <c r="D219" s="607">
        <f>'Initial data collection sheet'!H147*'Initial data collection sheet'!N147</f>
        <v>0</v>
      </c>
      <c r="E219" s="607">
        <f>'Initial data collection sheet'!H147*'Initial data collection sheet'!O147</f>
        <v>0</v>
      </c>
      <c r="F219" s="607">
        <f>'Initial data collection sheet'!H147*'Initial data collection sheet'!P147</f>
        <v>0</v>
      </c>
      <c r="G219" s="608">
        <f>'Initial data collection sheet'!I147*'Initial data collection sheet'!N147</f>
        <v>0</v>
      </c>
      <c r="H219" s="608">
        <f>'Initial data collection sheet'!I147*'Initial data collection sheet'!O147</f>
        <v>0</v>
      </c>
      <c r="I219" s="765">
        <f>'Initial data collection sheet'!I147*'Initial data collection sheet'!P147</f>
        <v>0</v>
      </c>
      <c r="J219" s="315"/>
    </row>
    <row r="220" spans="1:10">
      <c r="A220" s="606" t="str">
        <f>'Initial data collection sheet'!A148</f>
        <v>Milk (1000s of litres)</v>
      </c>
      <c r="B220" s="604">
        <f>'Initial data collection sheet'!H148*'Initial data collection sheet'!AH148</f>
        <v>0</v>
      </c>
      <c r="C220" s="604">
        <f>'Initial data collection sheet'!I148*'Initial data collection sheet'!AH148</f>
        <v>0</v>
      </c>
      <c r="D220" s="607">
        <f>'Initial data collection sheet'!H148*'Initial data collection sheet'!N148</f>
        <v>0</v>
      </c>
      <c r="E220" s="607">
        <f>'Initial data collection sheet'!H148*'Initial data collection sheet'!O148</f>
        <v>0</v>
      </c>
      <c r="F220" s="607">
        <f>'Initial data collection sheet'!H148*'Initial data collection sheet'!P148</f>
        <v>0</v>
      </c>
      <c r="G220" s="608">
        <f>'Initial data collection sheet'!I148*'Initial data collection sheet'!N148</f>
        <v>0</v>
      </c>
      <c r="H220" s="608">
        <f>'Initial data collection sheet'!I148*'Initial data collection sheet'!O148</f>
        <v>0</v>
      </c>
      <c r="I220" s="765">
        <f>'Initial data collection sheet'!I148*'Initial data collection sheet'!P148</f>
        <v>0</v>
      </c>
      <c r="J220" s="315"/>
    </row>
    <row r="221" spans="1:10">
      <c r="A221" s="606" t="str">
        <f>'Initial data collection sheet'!A149</f>
        <v>Wool (tonnes)</v>
      </c>
      <c r="B221" s="604">
        <f>'Initial data collection sheet'!H149*'Initial data collection sheet'!AH149</f>
        <v>0</v>
      </c>
      <c r="C221" s="604">
        <f>'Initial data collection sheet'!I149*'Initial data collection sheet'!AH149</f>
        <v>0</v>
      </c>
      <c r="D221" s="607">
        <f>'Initial data collection sheet'!H149*'Initial data collection sheet'!N149</f>
        <v>0</v>
      </c>
      <c r="E221" s="607">
        <f>'Initial data collection sheet'!H149*'Initial data collection sheet'!O149</f>
        <v>0</v>
      </c>
      <c r="F221" s="607">
        <f>'Initial data collection sheet'!H149*'Initial data collection sheet'!P149</f>
        <v>0</v>
      </c>
      <c r="G221" s="608">
        <f>'Initial data collection sheet'!I149*'Initial data collection sheet'!N149</f>
        <v>0</v>
      </c>
      <c r="H221" s="608">
        <f>'Initial data collection sheet'!I149*'Initial data collection sheet'!O149</f>
        <v>0</v>
      </c>
      <c r="I221" s="765">
        <f>'Initial data collection sheet'!I149*'Initial data collection sheet'!P149</f>
        <v>0</v>
      </c>
      <c r="J221" s="315"/>
    </row>
    <row r="222" spans="1:10">
      <c r="A222" s="606"/>
      <c r="B222" s="35"/>
      <c r="C222" s="35"/>
      <c r="D222" s="607"/>
      <c r="E222" s="607"/>
      <c r="F222" s="607"/>
      <c r="G222" s="608"/>
      <c r="H222" s="608"/>
      <c r="I222" s="765"/>
      <c r="J222" s="315"/>
    </row>
    <row r="223" spans="1:10">
      <c r="A223" s="375" t="s">
        <v>216</v>
      </c>
      <c r="B223" s="309"/>
      <c r="C223" s="307"/>
      <c r="D223" s="609"/>
      <c r="E223" s="609"/>
      <c r="F223" s="609"/>
      <c r="G223" s="610"/>
      <c r="H223" s="610"/>
      <c r="I223" s="766"/>
      <c r="J223" s="315"/>
    </row>
    <row r="224" spans="1:10" ht="28.9" customHeight="1">
      <c r="A224" s="582" t="s">
        <v>1165</v>
      </c>
      <c r="B224" s="309" t="s">
        <v>215</v>
      </c>
      <c r="C224" s="611">
        <f>'Initial data collection sheet'!B95</f>
        <v>0</v>
      </c>
      <c r="D224" s="607">
        <f>250*C224</f>
        <v>0</v>
      </c>
      <c r="E224" s="609" t="s">
        <v>72</v>
      </c>
      <c r="F224" s="609" t="s">
        <v>72</v>
      </c>
      <c r="G224" s="610" t="s">
        <v>72</v>
      </c>
      <c r="H224" s="610" t="s">
        <v>72</v>
      </c>
      <c r="I224" s="766" t="s">
        <v>72</v>
      </c>
      <c r="J224" s="315"/>
    </row>
    <row r="225" spans="1:10">
      <c r="A225" s="582" t="s">
        <v>509</v>
      </c>
      <c r="B225" s="309" t="s">
        <v>215</v>
      </c>
      <c r="C225" s="611">
        <f>'Initial data collection sheet'!B96</f>
        <v>0</v>
      </c>
      <c r="D225" s="607">
        <f>100*C225</f>
        <v>0</v>
      </c>
      <c r="E225" s="609" t="s">
        <v>72</v>
      </c>
      <c r="F225" s="609" t="s">
        <v>72</v>
      </c>
      <c r="G225" s="610" t="s">
        <v>72</v>
      </c>
      <c r="H225" s="610" t="s">
        <v>72</v>
      </c>
      <c r="I225" s="766" t="s">
        <v>72</v>
      </c>
      <c r="J225" s="315"/>
    </row>
    <row r="226" spans="1:10">
      <c r="A226" s="582" t="s">
        <v>508</v>
      </c>
      <c r="B226" s="309" t="s">
        <v>215</v>
      </c>
      <c r="C226" s="611">
        <f>'Initial data collection sheet'!B97</f>
        <v>0</v>
      </c>
      <c r="D226" s="607">
        <f>150*C226</f>
        <v>0</v>
      </c>
      <c r="E226" s="609" t="s">
        <v>72</v>
      </c>
      <c r="F226" s="609" t="s">
        <v>72</v>
      </c>
      <c r="G226" s="610" t="s">
        <v>72</v>
      </c>
      <c r="H226" s="610" t="s">
        <v>72</v>
      </c>
      <c r="I226" s="766" t="s">
        <v>72</v>
      </c>
      <c r="J226" s="315"/>
    </row>
    <row r="227" spans="1:10">
      <c r="A227" s="582" t="s">
        <v>510</v>
      </c>
      <c r="B227" s="309" t="s">
        <v>215</v>
      </c>
      <c r="C227" s="611">
        <f>'Initial data collection sheet'!B98</f>
        <v>0</v>
      </c>
      <c r="D227" s="607">
        <f>150*C227</f>
        <v>0</v>
      </c>
      <c r="E227" s="609" t="s">
        <v>72</v>
      </c>
      <c r="F227" s="609" t="s">
        <v>72</v>
      </c>
      <c r="G227" s="610" t="s">
        <v>72</v>
      </c>
      <c r="H227" s="610" t="s">
        <v>72</v>
      </c>
      <c r="I227" s="766" t="s">
        <v>72</v>
      </c>
      <c r="J227" s="315"/>
    </row>
    <row r="228" spans="1:10">
      <c r="A228" s="582"/>
      <c r="B228" s="309"/>
      <c r="C228" s="611"/>
      <c r="D228" s="607"/>
      <c r="E228" s="609"/>
      <c r="F228" s="609"/>
      <c r="G228" s="610"/>
      <c r="H228" s="610"/>
      <c r="I228" s="766"/>
      <c r="J228" s="315"/>
    </row>
    <row r="229" spans="1:10">
      <c r="A229" s="582" t="s">
        <v>1293</v>
      </c>
      <c r="B229" s="309" t="s">
        <v>215</v>
      </c>
      <c r="C229" s="611">
        <f>SUM('Initial data collection sheet'!B101,'Initial data collection sheet'!B105)</f>
        <v>0</v>
      </c>
      <c r="D229" s="607">
        <f>60*C229</f>
        <v>0</v>
      </c>
      <c r="E229" s="609" t="s">
        <v>72</v>
      </c>
      <c r="F229" s="609" t="s">
        <v>72</v>
      </c>
      <c r="G229" s="610" t="s">
        <v>72</v>
      </c>
      <c r="H229" s="610" t="s">
        <v>72</v>
      </c>
      <c r="I229" s="766" t="s">
        <v>72</v>
      </c>
      <c r="J229" s="315"/>
    </row>
    <row r="230" spans="1:10">
      <c r="A230" s="582" t="s">
        <v>1294</v>
      </c>
      <c r="B230" s="309" t="s">
        <v>215</v>
      </c>
      <c r="C230" s="611">
        <f>SUM('Initial data collection sheet'!B102,'Initial data collection sheet'!B106)</f>
        <v>0</v>
      </c>
      <c r="D230" s="607">
        <f>40*C230</f>
        <v>0</v>
      </c>
      <c r="E230" s="609" t="s">
        <v>72</v>
      </c>
      <c r="F230" s="609" t="s">
        <v>72</v>
      </c>
      <c r="G230" s="610" t="s">
        <v>72</v>
      </c>
      <c r="H230" s="610" t="s">
        <v>72</v>
      </c>
      <c r="I230" s="766" t="s">
        <v>72</v>
      </c>
      <c r="J230" s="315"/>
    </row>
    <row r="231" spans="1:10">
      <c r="A231" s="582" t="s">
        <v>1295</v>
      </c>
      <c r="B231" s="309" t="s">
        <v>215</v>
      </c>
      <c r="C231" s="611">
        <f>SUM('Initial data collection sheet'!B103,'Initial data collection sheet'!B107)</f>
        <v>0</v>
      </c>
      <c r="D231" s="607">
        <f>20*C231</f>
        <v>0</v>
      </c>
      <c r="E231" s="609" t="s">
        <v>72</v>
      </c>
      <c r="F231" s="609" t="s">
        <v>72</v>
      </c>
      <c r="G231" s="610" t="s">
        <v>72</v>
      </c>
      <c r="H231" s="610" t="s">
        <v>72</v>
      </c>
      <c r="I231" s="766" t="s">
        <v>72</v>
      </c>
      <c r="J231" s="315"/>
    </row>
    <row r="232" spans="1:10">
      <c r="A232" s="582" t="s">
        <v>1296</v>
      </c>
      <c r="B232" s="309" t="s">
        <v>215</v>
      </c>
      <c r="C232" s="611">
        <f>SUM('Initial data collection sheet'!B104,'Initial data collection sheet'!B108,'Initial data collection sheet'!B109)</f>
        <v>0</v>
      </c>
      <c r="D232" s="607">
        <f>0*C232</f>
        <v>0</v>
      </c>
      <c r="E232" s="609" t="s">
        <v>72</v>
      </c>
      <c r="F232" s="609" t="s">
        <v>72</v>
      </c>
      <c r="G232" s="610" t="s">
        <v>72</v>
      </c>
      <c r="H232" s="610" t="s">
        <v>72</v>
      </c>
      <c r="I232" s="766" t="s">
        <v>72</v>
      </c>
      <c r="J232" s="315"/>
    </row>
    <row r="233" spans="1:10">
      <c r="A233" s="582" t="s">
        <v>203</v>
      </c>
      <c r="B233" s="309" t="s">
        <v>215</v>
      </c>
      <c r="C233" s="611">
        <f>'Initial data collection sheet'!B42</f>
        <v>0</v>
      </c>
      <c r="D233" s="607">
        <f>75*C233</f>
        <v>0</v>
      </c>
      <c r="E233" s="609" t="s">
        <v>72</v>
      </c>
      <c r="F233" s="609" t="s">
        <v>72</v>
      </c>
      <c r="G233" s="610" t="s">
        <v>72</v>
      </c>
      <c r="H233" s="610" t="s">
        <v>72</v>
      </c>
      <c r="I233" s="766" t="s">
        <v>72</v>
      </c>
      <c r="J233" s="315"/>
    </row>
    <row r="234" spans="1:10">
      <c r="A234" s="582" t="s">
        <v>202</v>
      </c>
      <c r="B234" s="309" t="s">
        <v>215</v>
      </c>
      <c r="C234" s="611">
        <f>'Initial data collection sheet'!B43</f>
        <v>0</v>
      </c>
      <c r="D234" s="607">
        <f>150*C234</f>
        <v>0</v>
      </c>
      <c r="E234" s="609" t="s">
        <v>72</v>
      </c>
      <c r="F234" s="609" t="s">
        <v>72</v>
      </c>
      <c r="G234" s="610" t="s">
        <v>72</v>
      </c>
      <c r="H234" s="610" t="s">
        <v>72</v>
      </c>
      <c r="I234" s="766" t="s">
        <v>72</v>
      </c>
      <c r="J234" s="315"/>
    </row>
    <row r="235" spans="1:10">
      <c r="A235" s="582" t="s">
        <v>217</v>
      </c>
      <c r="B235" s="309" t="s">
        <v>215</v>
      </c>
      <c r="C235" s="611">
        <f>'Initial data collection sheet'!B94</f>
        <v>0</v>
      </c>
      <c r="D235" s="607">
        <f>250*C235</f>
        <v>0</v>
      </c>
      <c r="E235" s="609" t="s">
        <v>72</v>
      </c>
      <c r="F235" s="609" t="s">
        <v>72</v>
      </c>
      <c r="G235" s="610" t="s">
        <v>72</v>
      </c>
      <c r="H235" s="610" t="s">
        <v>72</v>
      </c>
      <c r="I235" s="766" t="s">
        <v>72</v>
      </c>
      <c r="J235" s="315"/>
    </row>
    <row r="236" spans="1:10">
      <c r="A236" s="582"/>
      <c r="B236" s="612"/>
      <c r="C236" s="611"/>
      <c r="D236" s="607"/>
      <c r="E236" s="609"/>
      <c r="F236" s="609"/>
      <c r="G236" s="610"/>
      <c r="H236" s="610"/>
      <c r="I236" s="766"/>
      <c r="J236" s="315"/>
    </row>
    <row r="237" spans="1:10" ht="15.75" thickBot="1">
      <c r="A237" s="613" t="s">
        <v>214</v>
      </c>
      <c r="B237" s="614" t="s">
        <v>215</v>
      </c>
      <c r="C237" s="615">
        <f>SUM('Initial data collection sheet'!B32)</f>
        <v>0</v>
      </c>
      <c r="D237" s="557">
        <f>25*C237</f>
        <v>0</v>
      </c>
      <c r="E237" s="556" t="s">
        <v>72</v>
      </c>
      <c r="F237" s="556" t="s">
        <v>72</v>
      </c>
      <c r="G237" s="616" t="s">
        <v>72</v>
      </c>
      <c r="H237" s="616" t="s">
        <v>72</v>
      </c>
      <c r="I237" s="767" t="s">
        <v>72</v>
      </c>
      <c r="J237" s="315"/>
    </row>
    <row r="238" spans="1:10">
      <c r="A238" s="10"/>
      <c r="B238" s="617"/>
      <c r="C238" s="17"/>
      <c r="D238" s="17"/>
      <c r="E238" s="301"/>
      <c r="F238" s="618"/>
      <c r="G238" s="618"/>
      <c r="H238" s="618"/>
      <c r="I238" s="618"/>
      <c r="J238" s="315"/>
    </row>
    <row r="239" spans="1:10">
      <c r="A239" s="10"/>
      <c r="B239" s="617"/>
      <c r="C239" s="17"/>
      <c r="D239" s="17"/>
      <c r="E239" s="301"/>
      <c r="F239" s="618"/>
      <c r="G239" s="618"/>
      <c r="H239" s="618"/>
      <c r="I239" s="618"/>
      <c r="J239" s="315"/>
    </row>
    <row r="240" spans="1:10" hidden="1">
      <c r="A240" s="10"/>
      <c r="B240" s="11"/>
      <c r="C240" s="12"/>
      <c r="D240" s="12"/>
      <c r="E240" s="12"/>
      <c r="F240" s="12"/>
      <c r="G240" s="12"/>
      <c r="H240" s="12"/>
      <c r="I240" s="12"/>
      <c r="J240" s="12"/>
    </row>
    <row r="241" spans="1:15" hidden="1">
      <c r="A241" s="4" t="s">
        <v>232</v>
      </c>
      <c r="B241" s="4"/>
      <c r="C241" s="4"/>
      <c r="D241" s="4"/>
      <c r="E241" s="4"/>
      <c r="F241" s="4"/>
      <c r="G241" s="4"/>
      <c r="H241" s="4"/>
      <c r="I241" s="4"/>
      <c r="J241" s="4"/>
    </row>
    <row r="242" spans="1:15" hidden="1">
      <c r="A242" s="4" t="s">
        <v>233</v>
      </c>
      <c r="B242" s="4" t="s">
        <v>182</v>
      </c>
      <c r="C242" s="4"/>
      <c r="D242" s="4"/>
      <c r="E242" s="4"/>
      <c r="F242" s="4"/>
      <c r="G242" s="4"/>
      <c r="H242" s="4"/>
      <c r="I242" s="4"/>
      <c r="J242" s="4" t="s">
        <v>1194</v>
      </c>
    </row>
    <row r="243" spans="1:15" hidden="1">
      <c r="A243" s="1047"/>
      <c r="B243" s="1047"/>
      <c r="C243" s="1047"/>
      <c r="D243" s="1047"/>
      <c r="E243" s="1047"/>
      <c r="F243" s="1"/>
      <c r="G243" s="1"/>
      <c r="H243" s="1"/>
      <c r="I243" s="1"/>
      <c r="J243" s="1"/>
    </row>
    <row r="244" spans="1:15" hidden="1">
      <c r="A244" s="1047"/>
      <c r="B244" s="1047"/>
      <c r="C244" s="1047"/>
      <c r="D244" s="1047"/>
      <c r="E244" s="1047"/>
      <c r="F244" s="1"/>
      <c r="G244" s="1"/>
      <c r="H244" s="1"/>
      <c r="I244" s="1"/>
      <c r="J244" s="1052" t="s">
        <v>1283</v>
      </c>
      <c r="K244" s="1066"/>
      <c r="L244" s="1066"/>
      <c r="M244" s="1066"/>
      <c r="N244" s="1066"/>
      <c r="O244" s="1066"/>
    </row>
    <row r="245" spans="1:15" hidden="1">
      <c r="A245" s="1063" t="s">
        <v>236</v>
      </c>
      <c r="B245" s="1063"/>
      <c r="C245" s="1063"/>
      <c r="D245" s="1063"/>
      <c r="E245" s="1063"/>
      <c r="F245" s="1"/>
      <c r="G245" s="1"/>
      <c r="H245" s="1"/>
      <c r="I245" s="1"/>
      <c r="J245" s="1052"/>
      <c r="K245" s="1059"/>
      <c r="L245" s="1059"/>
      <c r="M245" s="1059"/>
      <c r="N245" s="1059"/>
      <c r="O245" s="1059"/>
    </row>
    <row r="246" spans="1:15" ht="25.9" hidden="1" customHeight="1">
      <c r="A246" s="1064" t="s">
        <v>586</v>
      </c>
      <c r="B246" s="1064"/>
      <c r="C246" s="1064"/>
      <c r="D246" s="1064"/>
      <c r="E246" s="1064"/>
      <c r="F246" s="9" t="s">
        <v>237</v>
      </c>
      <c r="G246" s="1"/>
      <c r="H246" s="1"/>
      <c r="I246" s="1"/>
      <c r="J246" s="1052"/>
      <c r="K246" s="1059"/>
      <c r="L246" s="1059"/>
      <c r="M246" s="1059"/>
      <c r="N246" s="1059"/>
      <c r="O246" s="1059"/>
    </row>
    <row r="247" spans="1:15" ht="14.45" hidden="1" customHeight="1">
      <c r="A247" s="1062"/>
      <c r="B247" s="1062"/>
      <c r="C247" s="1062"/>
      <c r="D247" s="1062"/>
      <c r="E247" s="1062"/>
      <c r="F247" s="1" t="s">
        <v>1166</v>
      </c>
      <c r="G247" s="1"/>
      <c r="H247" s="1">
        <v>5</v>
      </c>
      <c r="I247" s="1"/>
      <c r="J247" s="1052"/>
      <c r="K247" s="1059"/>
      <c r="L247" s="1059"/>
      <c r="M247" s="1059"/>
      <c r="N247" s="1059"/>
      <c r="O247" s="1059"/>
    </row>
    <row r="248" spans="1:15" hidden="1">
      <c r="A248" s="31"/>
      <c r="B248" s="31"/>
      <c r="C248" s="31"/>
      <c r="D248" s="31"/>
      <c r="E248" s="31"/>
      <c r="F248" s="49" t="s">
        <v>1167</v>
      </c>
      <c r="G248" s="1"/>
      <c r="H248" s="1">
        <v>4</v>
      </c>
      <c r="I248" s="1"/>
      <c r="J248" s="1052"/>
    </row>
    <row r="249" spans="1:15" hidden="1">
      <c r="A249" s="30"/>
      <c r="B249" s="30"/>
      <c r="C249" s="46"/>
      <c r="D249" s="30"/>
      <c r="E249" s="30"/>
      <c r="F249" s="1" t="s">
        <v>1168</v>
      </c>
      <c r="G249" s="1"/>
      <c r="H249" s="1">
        <v>3</v>
      </c>
      <c r="I249" s="1"/>
      <c r="J249" s="1052"/>
    </row>
    <row r="250" spans="1:15" hidden="1">
      <c r="A250" s="30"/>
      <c r="B250" s="30"/>
      <c r="C250" s="30"/>
      <c r="D250" s="30"/>
      <c r="E250" s="30"/>
      <c r="F250" s="1" t="s">
        <v>1169</v>
      </c>
      <c r="G250" s="1"/>
      <c r="H250" s="1">
        <v>2</v>
      </c>
      <c r="I250" s="1"/>
      <c r="J250" s="1052"/>
    </row>
    <row r="251" spans="1:15" hidden="1">
      <c r="A251" s="30"/>
      <c r="B251" s="30"/>
      <c r="C251" s="30"/>
      <c r="D251" s="30"/>
      <c r="E251" s="30"/>
      <c r="F251" s="1" t="s">
        <v>1170</v>
      </c>
      <c r="G251" s="1"/>
      <c r="H251" s="1">
        <v>1</v>
      </c>
      <c r="I251" s="1"/>
      <c r="J251" s="1052"/>
    </row>
    <row r="252" spans="1:15" hidden="1">
      <c r="A252" s="1062"/>
      <c r="B252" s="1062"/>
      <c r="C252" s="1062"/>
      <c r="D252" s="1062"/>
      <c r="E252" s="1062"/>
      <c r="F252" s="1"/>
      <c r="G252" s="1"/>
      <c r="H252" s="1"/>
      <c r="I252" s="1"/>
      <c r="J252" s="1052"/>
    </row>
    <row r="253" spans="1:15" ht="30.6" hidden="1" customHeight="1">
      <c r="A253" s="1064" t="s">
        <v>505</v>
      </c>
      <c r="B253" s="1064"/>
      <c r="C253" s="1064"/>
      <c r="D253" s="1064"/>
      <c r="E253" s="1064"/>
      <c r="F253" s="9" t="s">
        <v>437</v>
      </c>
      <c r="G253" s="1"/>
      <c r="H253" s="1"/>
      <c r="I253" s="1"/>
      <c r="J253" s="1052"/>
    </row>
    <row r="254" spans="1:15" ht="38.450000000000003" hidden="1" customHeight="1">
      <c r="A254" s="1065" t="s">
        <v>587</v>
      </c>
      <c r="B254" s="1065"/>
      <c r="C254" s="1065"/>
      <c r="D254" s="1065"/>
      <c r="E254" s="1065"/>
      <c r="F254" s="1057" t="s">
        <v>1171</v>
      </c>
      <c r="G254" s="1057"/>
      <c r="H254" s="1">
        <v>5</v>
      </c>
      <c r="I254" s="1"/>
      <c r="J254" s="1052"/>
    </row>
    <row r="255" spans="1:15" ht="67.150000000000006" hidden="1" customHeight="1">
      <c r="A255" s="47"/>
      <c r="B255" s="47"/>
      <c r="C255" s="47"/>
      <c r="D255" s="47"/>
      <c r="E255" s="47"/>
      <c r="F255" s="1070" t="s">
        <v>1172</v>
      </c>
      <c r="G255" s="1070"/>
      <c r="H255" s="1">
        <v>3</v>
      </c>
      <c r="I255" s="1"/>
      <c r="J255" s="1052"/>
    </row>
    <row r="256" spans="1:15" ht="67.150000000000006" hidden="1" customHeight="1">
      <c r="A256" s="47"/>
      <c r="B256" s="47"/>
      <c r="C256" s="47"/>
      <c r="D256" s="47"/>
      <c r="E256" s="47"/>
      <c r="F256" s="1057" t="s">
        <v>1173</v>
      </c>
      <c r="G256" s="1057"/>
      <c r="H256" s="1">
        <v>1</v>
      </c>
      <c r="I256" s="1"/>
      <c r="J256" s="1052"/>
    </row>
    <row r="257" spans="1:10" hidden="1">
      <c r="A257" s="47"/>
      <c r="B257" s="47"/>
      <c r="C257" s="47"/>
      <c r="D257" s="47"/>
      <c r="E257" s="47"/>
      <c r="F257" s="1"/>
      <c r="G257" s="1"/>
      <c r="H257" s="1"/>
      <c r="I257" s="1"/>
      <c r="J257" s="1052"/>
    </row>
    <row r="258" spans="1:10" hidden="1">
      <c r="A258" s="47"/>
      <c r="B258" s="47"/>
      <c r="C258" s="47"/>
      <c r="D258" s="47"/>
      <c r="E258" s="47"/>
      <c r="F258" s="1"/>
      <c r="G258" s="1"/>
      <c r="H258" s="1"/>
      <c r="I258" s="1"/>
      <c r="J258" s="1052"/>
    </row>
    <row r="259" spans="1:10" hidden="1">
      <c r="A259" s="47"/>
      <c r="B259" s="47"/>
      <c r="C259" s="47"/>
      <c r="D259" s="47"/>
      <c r="E259" s="47"/>
      <c r="F259" s="1"/>
      <c r="G259" s="1"/>
      <c r="H259" s="1"/>
      <c r="I259" s="1"/>
      <c r="J259" s="1052"/>
    </row>
    <row r="260" spans="1:10" ht="27.6" hidden="1" customHeight="1">
      <c r="A260" s="1064" t="s">
        <v>506</v>
      </c>
      <c r="B260" s="1064"/>
      <c r="C260" s="1064"/>
      <c r="D260" s="1064"/>
      <c r="E260" s="1064"/>
      <c r="F260" s="9" t="s">
        <v>436</v>
      </c>
      <c r="G260" s="1"/>
      <c r="H260" s="1"/>
      <c r="I260" s="1"/>
      <c r="J260" s="1052"/>
    </row>
    <row r="261" spans="1:10" ht="38.450000000000003" hidden="1" customHeight="1">
      <c r="A261" s="1065" t="s">
        <v>588</v>
      </c>
      <c r="B261" s="1065"/>
      <c r="C261" s="1065"/>
      <c r="D261" s="1065"/>
      <c r="E261" s="1065"/>
      <c r="F261" s="1057" t="s">
        <v>1171</v>
      </c>
      <c r="G261" s="1057"/>
      <c r="H261" s="1">
        <v>5</v>
      </c>
      <c r="I261" s="1"/>
      <c r="J261" s="1052"/>
    </row>
    <row r="262" spans="1:10" ht="71.45" hidden="1" customHeight="1">
      <c r="A262" s="1064"/>
      <c r="B262" s="1064"/>
      <c r="C262" s="1064"/>
      <c r="D262" s="1064"/>
      <c r="E262" s="1064"/>
      <c r="F262" s="1070" t="s">
        <v>1172</v>
      </c>
      <c r="G262" s="1070"/>
      <c r="H262" s="1">
        <v>3</v>
      </c>
      <c r="I262" s="1"/>
      <c r="J262" s="1052"/>
    </row>
    <row r="263" spans="1:10" ht="63" hidden="1" customHeight="1">
      <c r="A263" s="47"/>
      <c r="B263" s="47"/>
      <c r="C263" s="47"/>
      <c r="D263" s="47"/>
      <c r="E263" s="47"/>
      <c r="F263" s="1057" t="s">
        <v>1173</v>
      </c>
      <c r="G263" s="1057"/>
      <c r="H263" s="1">
        <v>1</v>
      </c>
      <c r="I263" s="1"/>
      <c r="J263" s="1052"/>
    </row>
    <row r="264" spans="1:10" hidden="1">
      <c r="A264" s="47"/>
      <c r="B264" s="47"/>
      <c r="C264" s="47"/>
      <c r="D264" s="47"/>
      <c r="E264" s="47"/>
      <c r="F264" s="1"/>
      <c r="G264" s="1"/>
      <c r="H264" s="1"/>
      <c r="I264" s="1"/>
      <c r="J264" s="1052"/>
    </row>
    <row r="265" spans="1:10" hidden="1">
      <c r="A265" s="47"/>
      <c r="B265" s="47"/>
      <c r="C265" s="47"/>
      <c r="D265" s="47"/>
      <c r="E265" s="47"/>
      <c r="F265" s="1"/>
      <c r="G265" s="1"/>
      <c r="H265" s="1"/>
      <c r="I265" s="1"/>
      <c r="J265" s="1052"/>
    </row>
    <row r="266" spans="1:10" hidden="1">
      <c r="G266"/>
      <c r="H266"/>
      <c r="I266"/>
    </row>
    <row r="267" spans="1:10" hidden="1">
      <c r="G267"/>
      <c r="H267"/>
      <c r="I267"/>
    </row>
    <row r="268" spans="1:10" hidden="1">
      <c r="G268"/>
      <c r="H268"/>
      <c r="I268"/>
    </row>
    <row r="269" spans="1:10" hidden="1">
      <c r="G269"/>
      <c r="H269"/>
      <c r="I269"/>
    </row>
    <row r="270" spans="1:10">
      <c r="G270"/>
      <c r="H270"/>
      <c r="I270"/>
    </row>
    <row r="271" spans="1:10">
      <c r="G271"/>
      <c r="H271"/>
      <c r="I271"/>
    </row>
    <row r="272" spans="1:10">
      <c r="G272"/>
      <c r="H272"/>
      <c r="I272"/>
    </row>
    <row r="273" spans="7:9">
      <c r="G273"/>
      <c r="H273"/>
      <c r="I273"/>
    </row>
    <row r="274" spans="7:9">
      <c r="G274"/>
      <c r="H274"/>
      <c r="I274"/>
    </row>
    <row r="275" spans="7:9">
      <c r="G275"/>
      <c r="H275"/>
      <c r="I275"/>
    </row>
    <row r="276" spans="7:9">
      <c r="G276"/>
      <c r="H276"/>
      <c r="I276"/>
    </row>
    <row r="277" spans="7:9">
      <c r="G277"/>
      <c r="H277"/>
      <c r="I277"/>
    </row>
    <row r="278" spans="7:9">
      <c r="G278"/>
      <c r="H278"/>
      <c r="I278"/>
    </row>
    <row r="279" spans="7:9">
      <c r="G279"/>
      <c r="H279"/>
      <c r="I279"/>
    </row>
    <row r="280" spans="7:9">
      <c r="G280"/>
      <c r="H280"/>
      <c r="I280"/>
    </row>
    <row r="281" spans="7:9">
      <c r="G281"/>
      <c r="H281"/>
      <c r="I281"/>
    </row>
    <row r="282" spans="7:9">
      <c r="G282"/>
      <c r="H282"/>
      <c r="I282"/>
    </row>
    <row r="283" spans="7:9">
      <c r="G283"/>
      <c r="H283"/>
      <c r="I283"/>
    </row>
    <row r="284" spans="7:9">
      <c r="G284"/>
      <c r="H284"/>
      <c r="I284"/>
    </row>
    <row r="285" spans="7:9">
      <c r="G285"/>
      <c r="H285"/>
      <c r="I285"/>
    </row>
    <row r="286" spans="7:9">
      <c r="G286"/>
      <c r="H286"/>
      <c r="I286"/>
    </row>
    <row r="287" spans="7:9">
      <c r="G287"/>
      <c r="H287"/>
      <c r="I287"/>
    </row>
    <row r="288" spans="7:9">
      <c r="G288"/>
      <c r="H288"/>
      <c r="I288"/>
    </row>
    <row r="289" spans="7:9">
      <c r="G289"/>
      <c r="H289"/>
      <c r="I289"/>
    </row>
    <row r="290" spans="7:9">
      <c r="G290"/>
      <c r="H290"/>
      <c r="I290"/>
    </row>
    <row r="291" spans="7:9">
      <c r="G291"/>
      <c r="H291"/>
      <c r="I291"/>
    </row>
    <row r="292" spans="7:9">
      <c r="G292"/>
      <c r="H292"/>
      <c r="I292"/>
    </row>
    <row r="293" spans="7:9">
      <c r="G293"/>
      <c r="H293"/>
      <c r="I293"/>
    </row>
    <row r="294" spans="7:9">
      <c r="G294"/>
      <c r="H294"/>
      <c r="I294"/>
    </row>
    <row r="295" spans="7:9">
      <c r="G295"/>
      <c r="H295"/>
      <c r="I295"/>
    </row>
    <row r="296" spans="7:9">
      <c r="G296"/>
      <c r="H296"/>
      <c r="I296"/>
    </row>
    <row r="297" spans="7:9">
      <c r="G297"/>
      <c r="H297"/>
      <c r="I297"/>
    </row>
    <row r="298" spans="7:9">
      <c r="G298"/>
      <c r="H298"/>
      <c r="I298"/>
    </row>
    <row r="299" spans="7:9">
      <c r="G299"/>
      <c r="H299"/>
      <c r="I299"/>
    </row>
    <row r="300" spans="7:9">
      <c r="G300"/>
      <c r="H300"/>
      <c r="I300"/>
    </row>
    <row r="301" spans="7:9">
      <c r="G301"/>
      <c r="H301"/>
      <c r="I301"/>
    </row>
    <row r="302" spans="7:9">
      <c r="G302"/>
      <c r="H302"/>
      <c r="I302"/>
    </row>
    <row r="303" spans="7:9">
      <c r="G303"/>
      <c r="H303"/>
      <c r="I303"/>
    </row>
    <row r="304" spans="7:9">
      <c r="G304"/>
      <c r="H304"/>
      <c r="I304"/>
    </row>
    <row r="305" spans="7:9">
      <c r="G305"/>
      <c r="H305"/>
      <c r="I305"/>
    </row>
    <row r="306" spans="7:9">
      <c r="G306"/>
      <c r="H306"/>
      <c r="I306"/>
    </row>
    <row r="307" spans="7:9">
      <c r="G307"/>
      <c r="H307"/>
      <c r="I307"/>
    </row>
    <row r="308" spans="7:9">
      <c r="G308"/>
      <c r="H308"/>
      <c r="I308"/>
    </row>
    <row r="309" spans="7:9">
      <c r="G309"/>
      <c r="H309"/>
      <c r="I309"/>
    </row>
    <row r="310" spans="7:9">
      <c r="G310"/>
      <c r="H310"/>
      <c r="I310"/>
    </row>
    <row r="311" spans="7:9">
      <c r="G311"/>
      <c r="H311"/>
      <c r="I311"/>
    </row>
    <row r="312" spans="7:9">
      <c r="G312"/>
      <c r="H312"/>
      <c r="I312"/>
    </row>
    <row r="313" spans="7:9">
      <c r="G313"/>
      <c r="H313"/>
      <c r="I313"/>
    </row>
    <row r="314" spans="7:9">
      <c r="G314"/>
      <c r="H314"/>
      <c r="I314"/>
    </row>
    <row r="315" spans="7:9">
      <c r="G315"/>
      <c r="H315"/>
      <c r="I315"/>
    </row>
    <row r="316" spans="7:9">
      <c r="G316"/>
      <c r="H316"/>
      <c r="I316"/>
    </row>
    <row r="317" spans="7:9">
      <c r="G317"/>
      <c r="H317"/>
      <c r="I317"/>
    </row>
    <row r="318" spans="7:9">
      <c r="G318"/>
      <c r="H318"/>
      <c r="I318"/>
    </row>
    <row r="319" spans="7:9">
      <c r="G319"/>
      <c r="H319"/>
      <c r="I319"/>
    </row>
    <row r="320" spans="7:9">
      <c r="G320"/>
      <c r="H320"/>
      <c r="I320"/>
    </row>
    <row r="321" spans="7:9">
      <c r="G321"/>
      <c r="H321"/>
      <c r="I321"/>
    </row>
    <row r="322" spans="7:9">
      <c r="G322"/>
      <c r="H322"/>
      <c r="I322"/>
    </row>
    <row r="323" spans="7:9">
      <c r="G323"/>
      <c r="H323"/>
      <c r="I323"/>
    </row>
    <row r="324" spans="7:9">
      <c r="G324"/>
      <c r="H324"/>
      <c r="I324"/>
    </row>
    <row r="325" spans="7:9">
      <c r="G325"/>
      <c r="H325"/>
      <c r="I325"/>
    </row>
    <row r="326" spans="7:9">
      <c r="G326"/>
      <c r="H326"/>
      <c r="I326"/>
    </row>
    <row r="327" spans="7:9">
      <c r="G327"/>
      <c r="H327"/>
      <c r="I327"/>
    </row>
    <row r="328" spans="7:9">
      <c r="G328"/>
      <c r="H328"/>
      <c r="I328"/>
    </row>
    <row r="329" spans="7:9">
      <c r="G329"/>
      <c r="H329"/>
      <c r="I329"/>
    </row>
    <row r="330" spans="7:9">
      <c r="G330"/>
      <c r="H330"/>
      <c r="I330"/>
    </row>
    <row r="331" spans="7:9">
      <c r="G331"/>
      <c r="H331"/>
      <c r="I331"/>
    </row>
    <row r="332" spans="7:9">
      <c r="G332"/>
      <c r="H332"/>
      <c r="I332"/>
    </row>
    <row r="333" spans="7:9">
      <c r="G333"/>
      <c r="H333"/>
      <c r="I333"/>
    </row>
    <row r="334" spans="7:9">
      <c r="G334"/>
      <c r="H334"/>
      <c r="I334"/>
    </row>
    <row r="335" spans="7:9">
      <c r="G335"/>
      <c r="H335"/>
      <c r="I335"/>
    </row>
    <row r="336" spans="7:9">
      <c r="G336"/>
      <c r="H336"/>
      <c r="I336"/>
    </row>
    <row r="337" spans="7:9">
      <c r="G337"/>
      <c r="H337"/>
      <c r="I337"/>
    </row>
    <row r="338" spans="7:9">
      <c r="G338"/>
      <c r="H338"/>
      <c r="I338"/>
    </row>
    <row r="339" spans="7:9">
      <c r="G339"/>
      <c r="H339"/>
      <c r="I339"/>
    </row>
    <row r="340" spans="7:9">
      <c r="G340"/>
      <c r="H340"/>
      <c r="I340"/>
    </row>
    <row r="341" spans="7:9">
      <c r="G341"/>
      <c r="H341"/>
      <c r="I341"/>
    </row>
    <row r="342" spans="7:9">
      <c r="G342"/>
      <c r="H342"/>
      <c r="I342"/>
    </row>
    <row r="343" spans="7:9">
      <c r="G343"/>
      <c r="H343"/>
      <c r="I343"/>
    </row>
    <row r="344" spans="7:9">
      <c r="G344"/>
      <c r="H344"/>
      <c r="I344"/>
    </row>
    <row r="345" spans="7:9">
      <c r="G345"/>
      <c r="H345"/>
      <c r="I345"/>
    </row>
    <row r="346" spans="7:9">
      <c r="G346"/>
      <c r="H346"/>
      <c r="I346"/>
    </row>
    <row r="347" spans="7:9">
      <c r="G347"/>
      <c r="H347"/>
      <c r="I347"/>
    </row>
    <row r="348" spans="7:9">
      <c r="G348"/>
      <c r="H348"/>
      <c r="I348"/>
    </row>
    <row r="349" spans="7:9">
      <c r="G349"/>
      <c r="H349"/>
      <c r="I349"/>
    </row>
    <row r="350" spans="7:9">
      <c r="G350"/>
      <c r="H350"/>
      <c r="I350"/>
    </row>
    <row r="351" spans="7:9">
      <c r="G351"/>
      <c r="H351"/>
      <c r="I351"/>
    </row>
    <row r="352" spans="7:9">
      <c r="G352"/>
      <c r="H352"/>
      <c r="I352"/>
    </row>
    <row r="353" spans="7:9">
      <c r="G353"/>
      <c r="H353"/>
      <c r="I353"/>
    </row>
    <row r="354" spans="7:9">
      <c r="G354"/>
      <c r="H354"/>
      <c r="I354"/>
    </row>
    <row r="355" spans="7:9">
      <c r="G355"/>
      <c r="H355"/>
      <c r="I355"/>
    </row>
    <row r="356" spans="7:9">
      <c r="G356"/>
      <c r="H356"/>
      <c r="I356"/>
    </row>
    <row r="357" spans="7:9">
      <c r="G357"/>
      <c r="H357"/>
      <c r="I357"/>
    </row>
    <row r="358" spans="7:9">
      <c r="G358"/>
      <c r="H358"/>
      <c r="I358"/>
    </row>
    <row r="359" spans="7:9">
      <c r="G359"/>
      <c r="H359"/>
      <c r="I359"/>
    </row>
    <row r="360" spans="7:9">
      <c r="G360"/>
      <c r="H360"/>
      <c r="I360"/>
    </row>
    <row r="361" spans="7:9">
      <c r="G361"/>
      <c r="H361"/>
      <c r="I361"/>
    </row>
    <row r="362" spans="7:9">
      <c r="G362"/>
      <c r="H362"/>
      <c r="I362"/>
    </row>
    <row r="363" spans="7:9">
      <c r="G363"/>
      <c r="H363"/>
      <c r="I363"/>
    </row>
    <row r="364" spans="7:9">
      <c r="G364"/>
      <c r="H364"/>
      <c r="I364"/>
    </row>
    <row r="365" spans="7:9">
      <c r="G365"/>
      <c r="H365"/>
      <c r="I365"/>
    </row>
    <row r="366" spans="7:9">
      <c r="G366"/>
      <c r="H366"/>
      <c r="I366"/>
    </row>
    <row r="367" spans="7:9">
      <c r="G367"/>
      <c r="H367"/>
      <c r="I367"/>
    </row>
    <row r="368" spans="7:9">
      <c r="G368"/>
      <c r="H368"/>
      <c r="I368"/>
    </row>
    <row r="369" spans="7:9">
      <c r="G369"/>
      <c r="H369"/>
      <c r="I369"/>
    </row>
    <row r="370" spans="7:9">
      <c r="G370"/>
      <c r="H370"/>
      <c r="I370"/>
    </row>
    <row r="371" spans="7:9">
      <c r="G371"/>
      <c r="H371"/>
      <c r="I371"/>
    </row>
    <row r="372" spans="7:9">
      <c r="G372"/>
      <c r="H372"/>
      <c r="I372"/>
    </row>
    <row r="373" spans="7:9">
      <c r="G373"/>
      <c r="H373"/>
      <c r="I373"/>
    </row>
    <row r="374" spans="7:9">
      <c r="G374"/>
      <c r="H374"/>
      <c r="I374"/>
    </row>
    <row r="375" spans="7:9">
      <c r="G375"/>
      <c r="H375"/>
      <c r="I375"/>
    </row>
    <row r="376" spans="7:9">
      <c r="G376"/>
      <c r="H376"/>
      <c r="I376"/>
    </row>
    <row r="377" spans="7:9">
      <c r="G377"/>
      <c r="H377"/>
      <c r="I377"/>
    </row>
    <row r="378" spans="7:9">
      <c r="G378"/>
      <c r="H378"/>
      <c r="I378"/>
    </row>
    <row r="379" spans="7:9">
      <c r="G379"/>
      <c r="H379"/>
      <c r="I379"/>
    </row>
    <row r="380" spans="7:9">
      <c r="G380"/>
      <c r="H380"/>
      <c r="I380"/>
    </row>
    <row r="381" spans="7:9">
      <c r="G381"/>
      <c r="H381"/>
      <c r="I381"/>
    </row>
    <row r="382" spans="7:9">
      <c r="G382"/>
      <c r="H382"/>
      <c r="I382"/>
    </row>
    <row r="383" spans="7:9">
      <c r="G383"/>
      <c r="H383"/>
      <c r="I383"/>
    </row>
    <row r="384" spans="7:9">
      <c r="G384"/>
      <c r="H384"/>
      <c r="I384"/>
    </row>
    <row r="385" spans="7:9">
      <c r="G385"/>
      <c r="H385"/>
      <c r="I385"/>
    </row>
    <row r="386" spans="7:9">
      <c r="G386"/>
      <c r="H386"/>
      <c r="I386"/>
    </row>
    <row r="387" spans="7:9">
      <c r="G387"/>
      <c r="H387"/>
      <c r="I387"/>
    </row>
    <row r="388" spans="7:9">
      <c r="G388"/>
      <c r="H388"/>
      <c r="I388"/>
    </row>
    <row r="389" spans="7:9">
      <c r="G389"/>
      <c r="H389"/>
      <c r="I389"/>
    </row>
    <row r="390" spans="7:9">
      <c r="G390"/>
      <c r="H390"/>
      <c r="I390"/>
    </row>
    <row r="391" spans="7:9">
      <c r="G391"/>
      <c r="H391"/>
      <c r="I391"/>
    </row>
    <row r="392" spans="7:9">
      <c r="G392"/>
      <c r="H392"/>
      <c r="I392"/>
    </row>
    <row r="393" spans="7:9">
      <c r="G393"/>
      <c r="H393"/>
      <c r="I393"/>
    </row>
    <row r="394" spans="7:9">
      <c r="G394"/>
      <c r="H394"/>
      <c r="I394"/>
    </row>
    <row r="395" spans="7:9">
      <c r="G395"/>
      <c r="H395"/>
      <c r="I395"/>
    </row>
    <row r="396" spans="7:9">
      <c r="G396"/>
      <c r="H396"/>
      <c r="I396"/>
    </row>
    <row r="397" spans="7:9">
      <c r="G397"/>
      <c r="H397"/>
      <c r="I397"/>
    </row>
    <row r="398" spans="7:9">
      <c r="G398"/>
      <c r="H398"/>
      <c r="I398"/>
    </row>
    <row r="399" spans="7:9">
      <c r="G399"/>
      <c r="H399"/>
      <c r="I399"/>
    </row>
    <row r="400" spans="7:9">
      <c r="G400"/>
      <c r="H400"/>
      <c r="I400"/>
    </row>
    <row r="401" spans="7:9">
      <c r="G401"/>
      <c r="H401"/>
      <c r="I401"/>
    </row>
    <row r="402" spans="7:9">
      <c r="G402"/>
      <c r="H402"/>
      <c r="I402"/>
    </row>
    <row r="403" spans="7:9">
      <c r="G403"/>
      <c r="H403"/>
      <c r="I403"/>
    </row>
    <row r="404" spans="7:9">
      <c r="G404"/>
      <c r="H404"/>
      <c r="I404"/>
    </row>
    <row r="405" spans="7:9">
      <c r="G405"/>
      <c r="H405"/>
      <c r="I405"/>
    </row>
    <row r="406" spans="7:9">
      <c r="G406"/>
      <c r="H406"/>
      <c r="I406"/>
    </row>
    <row r="407" spans="7:9">
      <c r="G407"/>
      <c r="H407"/>
      <c r="I407"/>
    </row>
    <row r="408" spans="7:9">
      <c r="G408"/>
      <c r="H408"/>
      <c r="I408"/>
    </row>
    <row r="409" spans="7:9">
      <c r="G409"/>
      <c r="H409"/>
      <c r="I409"/>
    </row>
    <row r="410" spans="7:9">
      <c r="G410"/>
      <c r="H410"/>
      <c r="I410"/>
    </row>
    <row r="411" spans="7:9">
      <c r="G411"/>
      <c r="H411"/>
      <c r="I411"/>
    </row>
    <row r="412" spans="7:9">
      <c r="G412"/>
      <c r="H412"/>
      <c r="I412"/>
    </row>
    <row r="413" spans="7:9">
      <c r="G413"/>
      <c r="H413"/>
      <c r="I413"/>
    </row>
    <row r="414" spans="7:9">
      <c r="G414"/>
      <c r="H414"/>
      <c r="I414"/>
    </row>
    <row r="415" spans="7:9">
      <c r="G415"/>
      <c r="H415"/>
      <c r="I415"/>
    </row>
    <row r="416" spans="7:9">
      <c r="G416"/>
      <c r="H416"/>
      <c r="I416"/>
    </row>
    <row r="417" spans="7:9">
      <c r="G417"/>
      <c r="H417"/>
      <c r="I417"/>
    </row>
    <row r="418" spans="7:9">
      <c r="G418"/>
      <c r="H418"/>
      <c r="I418"/>
    </row>
    <row r="419" spans="7:9">
      <c r="G419"/>
      <c r="H419"/>
      <c r="I419"/>
    </row>
    <row r="420" spans="7:9">
      <c r="G420"/>
      <c r="H420"/>
      <c r="I420"/>
    </row>
    <row r="421" spans="7:9">
      <c r="G421"/>
      <c r="H421"/>
      <c r="I421"/>
    </row>
    <row r="422" spans="7:9">
      <c r="G422"/>
      <c r="H422"/>
      <c r="I422"/>
    </row>
    <row r="423" spans="7:9">
      <c r="G423"/>
      <c r="H423"/>
      <c r="I423"/>
    </row>
    <row r="424" spans="7:9">
      <c r="G424"/>
      <c r="H424"/>
      <c r="I424"/>
    </row>
    <row r="425" spans="7:9">
      <c r="G425"/>
      <c r="H425"/>
      <c r="I425"/>
    </row>
    <row r="426" spans="7:9">
      <c r="G426"/>
      <c r="H426"/>
      <c r="I426"/>
    </row>
    <row r="427" spans="7:9">
      <c r="G427"/>
      <c r="H427"/>
      <c r="I427"/>
    </row>
    <row r="428" spans="7:9">
      <c r="G428"/>
      <c r="H428"/>
      <c r="I428"/>
    </row>
    <row r="429" spans="7:9">
      <c r="G429"/>
      <c r="H429"/>
      <c r="I429"/>
    </row>
    <row r="430" spans="7:9">
      <c r="G430"/>
      <c r="H430"/>
      <c r="I430"/>
    </row>
    <row r="431" spans="7:9">
      <c r="G431"/>
      <c r="H431"/>
      <c r="I431"/>
    </row>
    <row r="432" spans="7:9">
      <c r="G432"/>
      <c r="H432"/>
      <c r="I432"/>
    </row>
    <row r="433" spans="7:9">
      <c r="G433"/>
      <c r="H433"/>
      <c r="I433"/>
    </row>
    <row r="434" spans="7:9">
      <c r="G434"/>
      <c r="H434"/>
      <c r="I434"/>
    </row>
    <row r="435" spans="7:9">
      <c r="G435"/>
      <c r="H435"/>
      <c r="I435"/>
    </row>
    <row r="436" spans="7:9">
      <c r="G436"/>
      <c r="H436"/>
      <c r="I436"/>
    </row>
    <row r="437" spans="7:9">
      <c r="G437"/>
      <c r="H437"/>
      <c r="I437"/>
    </row>
    <row r="438" spans="7:9">
      <c r="G438"/>
      <c r="H438"/>
      <c r="I438"/>
    </row>
    <row r="439" spans="7:9">
      <c r="G439"/>
      <c r="H439"/>
      <c r="I439"/>
    </row>
    <row r="440" spans="7:9">
      <c r="G440"/>
      <c r="H440"/>
      <c r="I440"/>
    </row>
    <row r="441" spans="7:9">
      <c r="G441"/>
      <c r="H441"/>
      <c r="I441"/>
    </row>
    <row r="442" spans="7:9">
      <c r="G442"/>
      <c r="H442"/>
      <c r="I442"/>
    </row>
    <row r="443" spans="7:9">
      <c r="G443"/>
      <c r="H443"/>
      <c r="I443"/>
    </row>
    <row r="444" spans="7:9">
      <c r="G444"/>
      <c r="H444"/>
      <c r="I444"/>
    </row>
    <row r="445" spans="7:9">
      <c r="G445"/>
      <c r="H445"/>
      <c r="I445"/>
    </row>
    <row r="446" spans="7:9">
      <c r="G446"/>
      <c r="H446"/>
      <c r="I446"/>
    </row>
    <row r="447" spans="7:9">
      <c r="G447"/>
      <c r="H447"/>
      <c r="I447"/>
    </row>
    <row r="448" spans="7:9">
      <c r="G448"/>
      <c r="H448"/>
      <c r="I448"/>
    </row>
    <row r="449" spans="7:9">
      <c r="G449"/>
      <c r="H449"/>
      <c r="I449"/>
    </row>
    <row r="450" spans="7:9">
      <c r="G450"/>
      <c r="H450"/>
      <c r="I450"/>
    </row>
    <row r="451" spans="7:9">
      <c r="G451"/>
      <c r="H451"/>
      <c r="I451"/>
    </row>
    <row r="452" spans="7:9">
      <c r="G452"/>
      <c r="H452"/>
      <c r="I452"/>
    </row>
    <row r="453" spans="7:9">
      <c r="G453"/>
      <c r="H453"/>
      <c r="I453"/>
    </row>
    <row r="454" spans="7:9">
      <c r="G454"/>
      <c r="H454"/>
      <c r="I454"/>
    </row>
    <row r="455" spans="7:9">
      <c r="G455"/>
      <c r="H455"/>
      <c r="I455"/>
    </row>
    <row r="456" spans="7:9">
      <c r="G456"/>
      <c r="H456"/>
      <c r="I456"/>
    </row>
    <row r="457" spans="7:9">
      <c r="G457"/>
      <c r="H457"/>
      <c r="I457"/>
    </row>
    <row r="458" spans="7:9">
      <c r="G458"/>
      <c r="H458"/>
      <c r="I458"/>
    </row>
    <row r="459" spans="7:9">
      <c r="G459"/>
      <c r="H459"/>
      <c r="I459"/>
    </row>
    <row r="460" spans="7:9">
      <c r="G460"/>
      <c r="H460"/>
      <c r="I460"/>
    </row>
    <row r="461" spans="7:9">
      <c r="G461"/>
      <c r="H461"/>
      <c r="I461"/>
    </row>
    <row r="462" spans="7:9">
      <c r="G462"/>
      <c r="H462"/>
      <c r="I462"/>
    </row>
    <row r="463" spans="7:9">
      <c r="G463"/>
      <c r="H463"/>
      <c r="I463"/>
    </row>
    <row r="464" spans="7:9">
      <c r="G464"/>
      <c r="H464"/>
      <c r="I464"/>
    </row>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sheetData>
  <sheetProtection algorithmName="SHA-512" hashValue="UdcU++uVdRy8Xkz7jyEJgUK05BgsomJjf4EAIaI0d3LQjZwH/mP6JRYlOkCUYP19f9yXuStuvGs/yw2y7vbIyw==" saltValue="2nrQF89ep1i0GUVgcf5MeA==" spinCount="100000" sheet="1" objects="1" scenarios="1"/>
  <customSheetViews>
    <customSheetView guid="{7EE74243-CD96-4613-8F82-08E917A91D99}" scale="55" topLeftCell="A109">
      <selection activeCell="I149" sqref="I149"/>
      <pageMargins left="0.7" right="0.7" top="0.75" bottom="0.75" header="0.3" footer="0.3"/>
      <pageSetup paperSize="9" orientation="portrait" r:id="rId1"/>
    </customSheetView>
    <customSheetView guid="{77787C9C-D755-4D99-8252-290109F2917C}" scale="70" topLeftCell="A4">
      <selection activeCell="A18" sqref="A18"/>
      <pageMargins left="0.7" right="0.7" top="0.75" bottom="0.75" header="0.3" footer="0.3"/>
      <pageSetup paperSize="9" orientation="portrait" r:id="rId2"/>
    </customSheetView>
  </customSheetViews>
  <mergeCells count="25">
    <mergeCell ref="K244:O244"/>
    <mergeCell ref="K245:O245"/>
    <mergeCell ref="K246:O246"/>
    <mergeCell ref="K247:O247"/>
    <mergeCell ref="H14:I14"/>
    <mergeCell ref="J244:J265"/>
    <mergeCell ref="G16:I16"/>
    <mergeCell ref="F262:G262"/>
    <mergeCell ref="F263:G263"/>
    <mergeCell ref="F254:G254"/>
    <mergeCell ref="F255:G255"/>
    <mergeCell ref="F256:G256"/>
    <mergeCell ref="A262:E262"/>
    <mergeCell ref="A253:E253"/>
    <mergeCell ref="A254:E254"/>
    <mergeCell ref="A261:E261"/>
    <mergeCell ref="A260:E260"/>
    <mergeCell ref="A243:E243"/>
    <mergeCell ref="A244:E244"/>
    <mergeCell ref="D16:F16"/>
    <mergeCell ref="A252:E252"/>
    <mergeCell ref="F261:G261"/>
    <mergeCell ref="A245:E245"/>
    <mergeCell ref="A246:E246"/>
    <mergeCell ref="A247:E247"/>
  </mergeCells>
  <conditionalFormatting sqref="B19:I72 B87:I99 B73:B86 D73:I86 B128:I237 B100:B127 D100:I127">
    <cfRule type="cellIs" dxfId="1" priority="1" operator="lessThan">
      <formula>0</formula>
    </cfRule>
    <cfRule type="cellIs" dxfId="0" priority="2" operator="greaterThan">
      <formula>0</formula>
    </cfRule>
  </conditionalFormatting>
  <dataValidations count="1">
    <dataValidation type="list" allowBlank="1" showInputMessage="1" showErrorMessage="1" sqref="H223" xr:uid="{00000000-0002-0000-0600-000000000000}">
      <formula1>#REF!</formula1>
    </dataValidation>
  </dataValidation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7:P129"/>
  <sheetViews>
    <sheetView showGridLines="0" zoomScaleNormal="100" workbookViewId="0">
      <selection activeCell="D11" sqref="D11"/>
    </sheetView>
  </sheetViews>
  <sheetFormatPr defaultColWidth="9.140625" defaultRowHeight="15"/>
  <cols>
    <col min="1" max="1" width="22.7109375" customWidth="1"/>
    <col min="2" max="2" width="11.42578125" customWidth="1"/>
    <col min="3" max="3" width="31.85546875" bestFit="1" customWidth="1"/>
    <col min="4" max="4" width="13.42578125" customWidth="1"/>
    <col min="5" max="5" width="7.85546875" customWidth="1"/>
    <col min="7" max="8" width="11.28515625" customWidth="1"/>
    <col min="9" max="9" width="11.7109375" customWidth="1"/>
    <col min="13" max="13" width="11.140625" customWidth="1"/>
    <col min="14" max="14" width="9.85546875" customWidth="1"/>
    <col min="15" max="15" width="2" customWidth="1"/>
    <col min="16" max="16" width="7.7109375" customWidth="1"/>
  </cols>
  <sheetData>
    <row r="7" spans="1:16" ht="15.75" thickBot="1"/>
    <row r="8" spans="1:16" ht="15.75" thickBot="1">
      <c r="A8" s="373" t="s">
        <v>1691</v>
      </c>
      <c r="B8" s="393"/>
      <c r="C8" s="393"/>
      <c r="D8" s="393"/>
      <c r="E8" s="393"/>
      <c r="F8" s="393"/>
      <c r="G8" s="393"/>
      <c r="H8" s="393"/>
      <c r="I8" s="393"/>
      <c r="J8" s="393"/>
      <c r="K8" s="393"/>
      <c r="L8" s="393"/>
      <c r="M8" s="393"/>
      <c r="N8" s="393"/>
      <c r="O8" s="393"/>
      <c r="P8" s="596"/>
    </row>
    <row r="9" spans="1:16">
      <c r="A9" s="577" t="s">
        <v>488</v>
      </c>
      <c r="B9" s="579"/>
      <c r="C9" s="579"/>
      <c r="D9" s="642"/>
      <c r="E9" s="642"/>
      <c r="F9" s="1071" t="s">
        <v>1692</v>
      </c>
      <c r="G9" s="1071"/>
      <c r="H9" s="1071"/>
      <c r="I9" s="1071"/>
      <c r="J9" s="1071"/>
      <c r="K9" s="1071"/>
      <c r="L9" s="1071"/>
      <c r="M9" s="1071"/>
      <c r="N9" s="1071"/>
      <c r="O9" s="642"/>
      <c r="P9" s="643"/>
    </row>
    <row r="10" spans="1:16" ht="45" customHeight="1">
      <c r="A10" s="1078" t="s">
        <v>1694</v>
      </c>
      <c r="B10" s="1079"/>
      <c r="C10" s="1079"/>
      <c r="D10" s="527" t="s">
        <v>1693</v>
      </c>
      <c r="E10" s="527" t="s">
        <v>1668</v>
      </c>
      <c r="F10" s="527" t="s">
        <v>439</v>
      </c>
      <c r="G10" s="527" t="s">
        <v>137</v>
      </c>
      <c r="H10" s="634" t="s">
        <v>138</v>
      </c>
      <c r="I10" s="527" t="s">
        <v>442</v>
      </c>
      <c r="J10" s="634" t="s">
        <v>139</v>
      </c>
      <c r="K10" s="527" t="s">
        <v>250</v>
      </c>
      <c r="L10" s="527" t="s">
        <v>251</v>
      </c>
      <c r="M10" s="527" t="s">
        <v>1350</v>
      </c>
      <c r="N10" s="527" t="s">
        <v>1530</v>
      </c>
      <c r="O10" s="633" t="s">
        <v>556</v>
      </c>
      <c r="P10" s="671"/>
    </row>
    <row r="11" spans="1:16" ht="14.45" customHeight="1">
      <c r="A11" s="645"/>
      <c r="B11" s="61"/>
      <c r="C11" s="61" t="s">
        <v>82</v>
      </c>
      <c r="D11" s="537">
        <v>0</v>
      </c>
      <c r="E11" s="61" t="s">
        <v>88</v>
      </c>
      <c r="F11" s="669">
        <v>0</v>
      </c>
      <c r="G11" s="669">
        <v>0</v>
      </c>
      <c r="H11" s="669">
        <v>0</v>
      </c>
      <c r="I11" s="669">
        <v>0</v>
      </c>
      <c r="J11" s="669">
        <v>0</v>
      </c>
      <c r="K11" s="669">
        <v>0</v>
      </c>
      <c r="L11" s="669">
        <v>0</v>
      </c>
      <c r="M11" s="669">
        <v>0</v>
      </c>
      <c r="N11" s="669">
        <v>0</v>
      </c>
      <c r="O11" s="621" t="str">
        <f>IF(SUM(F11:N11)=100%,"OK","FALSE")</f>
        <v>FALSE</v>
      </c>
      <c r="P11" s="672"/>
    </row>
    <row r="12" spans="1:16" ht="14.45" customHeight="1">
      <c r="A12" s="646"/>
      <c r="B12" s="61"/>
      <c r="C12" s="61" t="s">
        <v>83</v>
      </c>
      <c r="D12" s="537">
        <v>0</v>
      </c>
      <c r="E12" s="61" t="s">
        <v>88</v>
      </c>
      <c r="F12" s="669">
        <v>0</v>
      </c>
      <c r="G12" s="669">
        <v>0</v>
      </c>
      <c r="H12" s="669">
        <v>0</v>
      </c>
      <c r="I12" s="669">
        <v>0</v>
      </c>
      <c r="J12" s="669">
        <v>0</v>
      </c>
      <c r="K12" s="669">
        <v>0</v>
      </c>
      <c r="L12" s="669">
        <v>0</v>
      </c>
      <c r="M12" s="669">
        <v>0</v>
      </c>
      <c r="N12" s="669">
        <v>0</v>
      </c>
      <c r="O12" s="621" t="str">
        <f t="shared" ref="O12:O19" si="0">IF(SUM(F12:N12)=100%,"OK","FALSE")</f>
        <v>FALSE</v>
      </c>
      <c r="P12" s="672"/>
    </row>
    <row r="13" spans="1:16" ht="14.45" customHeight="1">
      <c r="A13" s="646"/>
      <c r="B13" s="61"/>
      <c r="C13" s="61" t="s">
        <v>85</v>
      </c>
      <c r="D13" s="537">
        <v>0</v>
      </c>
      <c r="E13" s="61" t="s">
        <v>88</v>
      </c>
      <c r="F13" s="669">
        <v>0</v>
      </c>
      <c r="G13" s="669">
        <v>0</v>
      </c>
      <c r="H13" s="669">
        <v>0</v>
      </c>
      <c r="I13" s="669">
        <v>0</v>
      </c>
      <c r="J13" s="669">
        <v>0</v>
      </c>
      <c r="K13" s="669">
        <v>0</v>
      </c>
      <c r="L13" s="669">
        <v>0</v>
      </c>
      <c r="M13" s="669">
        <v>0</v>
      </c>
      <c r="N13" s="669">
        <v>0</v>
      </c>
      <c r="O13" s="621" t="str">
        <f t="shared" si="0"/>
        <v>FALSE</v>
      </c>
      <c r="P13" s="672"/>
    </row>
    <row r="14" spans="1:16" ht="14.45" customHeight="1">
      <c r="A14" s="646"/>
      <c r="B14" s="61"/>
      <c r="C14" s="29" t="s">
        <v>565</v>
      </c>
      <c r="D14" s="537">
        <v>0</v>
      </c>
      <c r="E14" s="29" t="s">
        <v>480</v>
      </c>
      <c r="F14" s="669">
        <v>0</v>
      </c>
      <c r="G14" s="669">
        <v>0</v>
      </c>
      <c r="H14" s="669">
        <v>0</v>
      </c>
      <c r="I14" s="669">
        <v>0</v>
      </c>
      <c r="J14" s="669">
        <v>0</v>
      </c>
      <c r="K14" s="669">
        <v>0</v>
      </c>
      <c r="L14" s="669">
        <v>0</v>
      </c>
      <c r="M14" s="669">
        <v>0</v>
      </c>
      <c r="N14" s="669">
        <v>0</v>
      </c>
      <c r="O14" s="621" t="str">
        <f t="shared" si="0"/>
        <v>FALSE</v>
      </c>
      <c r="P14" s="672"/>
    </row>
    <row r="15" spans="1:16" ht="14.45" customHeight="1">
      <c r="A15" s="646"/>
      <c r="B15" s="61"/>
      <c r="C15" s="61" t="s">
        <v>87</v>
      </c>
      <c r="D15" s="537">
        <v>0</v>
      </c>
      <c r="E15" s="61" t="s">
        <v>88</v>
      </c>
      <c r="F15" s="669">
        <v>0</v>
      </c>
      <c r="G15" s="669">
        <v>0</v>
      </c>
      <c r="H15" s="669">
        <v>0</v>
      </c>
      <c r="I15" s="669">
        <v>0</v>
      </c>
      <c r="J15" s="669">
        <v>0</v>
      </c>
      <c r="K15" s="669">
        <v>0</v>
      </c>
      <c r="L15" s="669">
        <v>0</v>
      </c>
      <c r="M15" s="669">
        <v>0</v>
      </c>
      <c r="N15" s="669">
        <v>0</v>
      </c>
      <c r="O15" s="621" t="str">
        <f t="shared" si="0"/>
        <v>FALSE</v>
      </c>
      <c r="P15" s="672"/>
    </row>
    <row r="16" spans="1:16" ht="14.45" customHeight="1">
      <c r="A16" s="646"/>
      <c r="B16" s="61"/>
      <c r="C16" s="29" t="s">
        <v>644</v>
      </c>
      <c r="D16" s="537">
        <v>0</v>
      </c>
      <c r="E16" s="61" t="s">
        <v>121</v>
      </c>
      <c r="F16" s="669">
        <v>0</v>
      </c>
      <c r="G16" s="669">
        <v>0</v>
      </c>
      <c r="H16" s="669">
        <v>0</v>
      </c>
      <c r="I16" s="669">
        <v>0</v>
      </c>
      <c r="J16" s="669">
        <v>0</v>
      </c>
      <c r="K16" s="669">
        <v>0</v>
      </c>
      <c r="L16" s="669">
        <v>0</v>
      </c>
      <c r="M16" s="669">
        <v>0</v>
      </c>
      <c r="N16" s="669">
        <v>0</v>
      </c>
      <c r="O16" s="621" t="str">
        <f t="shared" si="0"/>
        <v>FALSE</v>
      </c>
      <c r="P16" s="672"/>
    </row>
    <row r="17" spans="1:16" ht="14.45" customHeight="1">
      <c r="A17" s="646"/>
      <c r="B17" s="61"/>
      <c r="C17" s="29" t="s">
        <v>1351</v>
      </c>
      <c r="D17" s="537">
        <v>0</v>
      </c>
      <c r="E17" s="29" t="s">
        <v>121</v>
      </c>
      <c r="F17" s="669">
        <v>0</v>
      </c>
      <c r="G17" s="669">
        <v>0</v>
      </c>
      <c r="H17" s="669">
        <v>0</v>
      </c>
      <c r="I17" s="669">
        <v>0</v>
      </c>
      <c r="J17" s="669">
        <v>0</v>
      </c>
      <c r="K17" s="669">
        <v>0</v>
      </c>
      <c r="L17" s="669">
        <v>0</v>
      </c>
      <c r="M17" s="669">
        <v>0</v>
      </c>
      <c r="N17" s="669">
        <v>0</v>
      </c>
      <c r="O17" s="621" t="str">
        <f t="shared" si="0"/>
        <v>FALSE</v>
      </c>
      <c r="P17" s="672"/>
    </row>
    <row r="18" spans="1:16">
      <c r="A18" s="646"/>
      <c r="B18" s="61"/>
      <c r="C18" s="29" t="s">
        <v>561</v>
      </c>
      <c r="D18" s="537">
        <v>0</v>
      </c>
      <c r="E18" s="29" t="s">
        <v>560</v>
      </c>
      <c r="F18" s="669">
        <v>0</v>
      </c>
      <c r="G18" s="669">
        <v>0</v>
      </c>
      <c r="H18" s="669">
        <v>0</v>
      </c>
      <c r="I18" s="669">
        <v>0</v>
      </c>
      <c r="J18" s="669">
        <v>0</v>
      </c>
      <c r="K18" s="669">
        <v>0</v>
      </c>
      <c r="L18" s="669">
        <v>0</v>
      </c>
      <c r="M18" s="669">
        <v>0</v>
      </c>
      <c r="N18" s="669">
        <v>0</v>
      </c>
      <c r="O18" s="621" t="str">
        <f t="shared" si="0"/>
        <v>FALSE</v>
      </c>
      <c r="P18" s="672"/>
    </row>
    <row r="19" spans="1:16" ht="15.75" thickBot="1">
      <c r="A19" s="647"/>
      <c r="B19" s="648"/>
      <c r="C19" s="435" t="s">
        <v>1352</v>
      </c>
      <c r="D19" s="537">
        <v>0</v>
      </c>
      <c r="E19" s="870" t="s">
        <v>1398</v>
      </c>
      <c r="F19" s="669">
        <v>0</v>
      </c>
      <c r="G19" s="669">
        <v>0</v>
      </c>
      <c r="H19" s="669">
        <v>0</v>
      </c>
      <c r="I19" s="669">
        <v>0</v>
      </c>
      <c r="J19" s="669">
        <v>0</v>
      </c>
      <c r="K19" s="669">
        <v>0</v>
      </c>
      <c r="L19" s="669">
        <v>0</v>
      </c>
      <c r="M19" s="669">
        <v>0</v>
      </c>
      <c r="N19" s="669">
        <v>0</v>
      </c>
      <c r="O19" s="673" t="str">
        <f t="shared" si="0"/>
        <v>FALSE</v>
      </c>
      <c r="P19" s="674"/>
    </row>
    <row r="20" spans="1:16">
      <c r="A20" s="649"/>
      <c r="B20" s="579"/>
      <c r="C20" s="650"/>
      <c r="D20" s="650"/>
      <c r="E20" s="650"/>
      <c r="F20" s="650"/>
      <c r="G20" s="650"/>
      <c r="H20" s="650"/>
      <c r="I20" s="650"/>
      <c r="J20" s="650"/>
      <c r="K20" s="650"/>
      <c r="L20" s="650"/>
      <c r="M20" s="619"/>
      <c r="N20" s="619"/>
      <c r="O20" s="619"/>
      <c r="P20" s="651"/>
    </row>
    <row r="21" spans="1:16">
      <c r="A21" s="375" t="s">
        <v>1299</v>
      </c>
      <c r="B21" s="61"/>
      <c r="C21" s="28"/>
      <c r="D21" s="62"/>
      <c r="E21" s="62"/>
      <c r="F21" s="1072" t="s">
        <v>1692</v>
      </c>
      <c r="G21" s="1072"/>
      <c r="H21" s="1072"/>
      <c r="I21" s="1072"/>
      <c r="J21" s="1072"/>
      <c r="K21" s="1072"/>
      <c r="L21" s="1072"/>
      <c r="M21" s="1072"/>
      <c r="N21" s="33"/>
      <c r="O21" s="33"/>
      <c r="P21" s="644"/>
    </row>
    <row r="22" spans="1:16" ht="35.25" customHeight="1">
      <c r="A22" s="1073" t="s">
        <v>1709</v>
      </c>
      <c r="B22" s="1063"/>
      <c r="C22" s="1063"/>
      <c r="D22" s="29"/>
      <c r="E22" s="29"/>
      <c r="F22" s="527" t="s">
        <v>439</v>
      </c>
      <c r="G22" s="527" t="s">
        <v>137</v>
      </c>
      <c r="H22" s="527" t="s">
        <v>138</v>
      </c>
      <c r="I22" s="527" t="s">
        <v>442</v>
      </c>
      <c r="J22" s="527" t="s">
        <v>139</v>
      </c>
      <c r="K22" s="527" t="s">
        <v>1711</v>
      </c>
      <c r="L22" s="527" t="s">
        <v>1712</v>
      </c>
      <c r="M22" s="527" t="s">
        <v>1350</v>
      </c>
      <c r="N22" s="634" t="s">
        <v>556</v>
      </c>
      <c r="O22" s="33"/>
      <c r="P22" s="644"/>
    </row>
    <row r="23" spans="1:16" ht="14.25" customHeight="1">
      <c r="A23" s="646"/>
      <c r="B23" s="61"/>
      <c r="C23" s="29" t="s">
        <v>538</v>
      </c>
      <c r="D23" s="536">
        <v>0</v>
      </c>
      <c r="E23" s="29" t="s">
        <v>539</v>
      </c>
      <c r="F23" s="669">
        <v>0</v>
      </c>
      <c r="G23" s="669">
        <v>0</v>
      </c>
      <c r="H23" s="669">
        <v>0</v>
      </c>
      <c r="I23" s="669">
        <v>0</v>
      </c>
      <c r="J23" s="669">
        <v>0</v>
      </c>
      <c r="K23" s="669">
        <v>0</v>
      </c>
      <c r="L23" s="669">
        <v>0</v>
      </c>
      <c r="M23" s="669">
        <v>0</v>
      </c>
      <c r="N23" s="670" t="str">
        <f>IF(SUM(F23:M23)=100%,"OK","FALSE")</f>
        <v>FALSE</v>
      </c>
      <c r="O23" s="33"/>
      <c r="P23" s="644"/>
    </row>
    <row r="24" spans="1:16" ht="14.25" customHeight="1">
      <c r="A24" s="646"/>
      <c r="B24" s="61"/>
      <c r="C24" s="29" t="s">
        <v>540</v>
      </c>
      <c r="D24" s="536">
        <v>0</v>
      </c>
      <c r="E24" s="29" t="s">
        <v>539</v>
      </c>
      <c r="F24" s="669">
        <v>0</v>
      </c>
      <c r="G24" s="669">
        <v>0</v>
      </c>
      <c r="H24" s="669">
        <v>0</v>
      </c>
      <c r="I24" s="669">
        <v>0</v>
      </c>
      <c r="J24" s="669">
        <v>0</v>
      </c>
      <c r="K24" s="669">
        <v>0</v>
      </c>
      <c r="L24" s="669">
        <v>0</v>
      </c>
      <c r="M24" s="669">
        <v>0</v>
      </c>
      <c r="N24" s="670" t="str">
        <f>IF(SUM(F24:M24)=100%,"OK","FALSE")</f>
        <v>FALSE</v>
      </c>
      <c r="O24" s="33"/>
      <c r="P24" s="644"/>
    </row>
    <row r="25" spans="1:16" ht="14.25" customHeight="1">
      <c r="A25" s="646"/>
      <c r="B25" s="61"/>
      <c r="C25" s="29" t="s">
        <v>541</v>
      </c>
      <c r="D25" s="536">
        <v>0</v>
      </c>
      <c r="E25" s="29" t="s">
        <v>539</v>
      </c>
      <c r="F25" s="669">
        <v>0</v>
      </c>
      <c r="G25" s="669">
        <v>0</v>
      </c>
      <c r="H25" s="669">
        <v>0</v>
      </c>
      <c r="I25" s="669">
        <v>0</v>
      </c>
      <c r="J25" s="669">
        <v>0</v>
      </c>
      <c r="K25" s="669">
        <v>0</v>
      </c>
      <c r="L25" s="669">
        <v>0</v>
      </c>
      <c r="M25" s="669">
        <v>0</v>
      </c>
      <c r="N25" s="670" t="str">
        <f>IF(SUM(F25:M25)=100%,"OK","FALSE")</f>
        <v>FALSE</v>
      </c>
      <c r="O25" s="33"/>
      <c r="P25" s="644"/>
    </row>
    <row r="26" spans="1:16" ht="14.25" customHeight="1">
      <c r="A26" s="646"/>
      <c r="B26" s="61"/>
      <c r="C26" s="29" t="s">
        <v>542</v>
      </c>
      <c r="D26" s="536">
        <v>0</v>
      </c>
      <c r="E26" s="29" t="s">
        <v>539</v>
      </c>
      <c r="F26" s="669">
        <v>0</v>
      </c>
      <c r="G26" s="669">
        <v>0</v>
      </c>
      <c r="H26" s="669">
        <v>0</v>
      </c>
      <c r="I26" s="669">
        <v>0</v>
      </c>
      <c r="J26" s="669">
        <v>0</v>
      </c>
      <c r="K26" s="669">
        <v>0</v>
      </c>
      <c r="L26" s="669">
        <v>0</v>
      </c>
      <c r="M26" s="669">
        <v>0</v>
      </c>
      <c r="N26" s="670" t="str">
        <f>IF(SUM(F26:M26)=100%,"OK","FALSE")</f>
        <v>FALSE</v>
      </c>
      <c r="O26" s="33"/>
      <c r="P26" s="644"/>
    </row>
    <row r="27" spans="1:16" ht="14.25" customHeight="1">
      <c r="A27" s="646"/>
      <c r="B27" s="61"/>
      <c r="C27" s="29" t="s">
        <v>543</v>
      </c>
      <c r="D27" s="536">
        <v>0</v>
      </c>
      <c r="E27" s="29" t="s">
        <v>539</v>
      </c>
      <c r="F27" s="669">
        <v>0</v>
      </c>
      <c r="G27" s="669">
        <v>0</v>
      </c>
      <c r="H27" s="669">
        <v>0</v>
      </c>
      <c r="I27" s="669">
        <v>0</v>
      </c>
      <c r="J27" s="669">
        <v>0</v>
      </c>
      <c r="K27" s="669">
        <v>0</v>
      </c>
      <c r="L27" s="669">
        <v>0</v>
      </c>
      <c r="M27" s="669">
        <v>0</v>
      </c>
      <c r="N27" s="670" t="str">
        <f>IF(SUM(F27:M27)=100%,"OK","FALSE")</f>
        <v>FALSE</v>
      </c>
      <c r="O27" s="33"/>
      <c r="P27" s="644"/>
    </row>
    <row r="28" spans="1:16" ht="14.25" customHeight="1">
      <c r="A28" s="646"/>
      <c r="B28" s="61"/>
      <c r="C28" s="29" t="s">
        <v>544</v>
      </c>
      <c r="D28" s="536">
        <v>0</v>
      </c>
      <c r="E28" s="29" t="s">
        <v>39</v>
      </c>
      <c r="F28" s="669">
        <v>0</v>
      </c>
      <c r="G28" s="669">
        <v>0</v>
      </c>
      <c r="H28" s="669">
        <v>0</v>
      </c>
      <c r="I28" s="669">
        <v>0</v>
      </c>
      <c r="J28" s="669">
        <v>0</v>
      </c>
      <c r="K28" s="669">
        <v>0</v>
      </c>
      <c r="L28" s="669">
        <v>0</v>
      </c>
      <c r="M28" s="391"/>
      <c r="N28" s="670" t="str">
        <f>IF(SUM(F28:L28)=100%,"OK","FALSE")</f>
        <v>FALSE</v>
      </c>
      <c r="O28" s="33"/>
      <c r="P28" s="644"/>
    </row>
    <row r="29" spans="1:16" ht="14.25" customHeight="1">
      <c r="A29" s="646"/>
      <c r="B29" s="61"/>
      <c r="C29" s="29" t="s">
        <v>545</v>
      </c>
      <c r="D29" s="536">
        <v>0</v>
      </c>
      <c r="E29" s="29" t="s">
        <v>39</v>
      </c>
      <c r="F29" s="669">
        <v>0</v>
      </c>
      <c r="G29" s="669">
        <v>0</v>
      </c>
      <c r="H29" s="669">
        <v>0</v>
      </c>
      <c r="I29" s="669">
        <v>0</v>
      </c>
      <c r="J29" s="669">
        <v>0</v>
      </c>
      <c r="K29" s="669">
        <v>0</v>
      </c>
      <c r="L29" s="669">
        <v>0</v>
      </c>
      <c r="M29" s="391"/>
      <c r="N29" s="670" t="str">
        <f>IF(SUM(F29:L29)=100%,"OK","FALSE")</f>
        <v>FALSE</v>
      </c>
      <c r="O29" s="33"/>
      <c r="P29" s="644"/>
    </row>
    <row r="30" spans="1:16" ht="15.75" thickBot="1">
      <c r="A30" s="647"/>
      <c r="B30" s="648"/>
      <c r="C30" s="435"/>
      <c r="D30" s="435"/>
      <c r="E30" s="435"/>
      <c r="F30" s="435"/>
      <c r="G30" s="435"/>
      <c r="H30" s="435"/>
      <c r="I30" s="435"/>
      <c r="J30" s="435"/>
      <c r="K30" s="435"/>
      <c r="L30" s="435"/>
      <c r="M30" s="652"/>
      <c r="N30" s="652"/>
      <c r="O30" s="652"/>
      <c r="P30" s="653"/>
    </row>
    <row r="31" spans="1:16">
      <c r="F31" s="20"/>
      <c r="G31" s="20"/>
    </row>
    <row r="32" spans="1:16">
      <c r="F32" s="20"/>
      <c r="G32" s="20"/>
    </row>
    <row r="33" spans="6:7">
      <c r="F33" s="20"/>
      <c r="G33" s="20"/>
    </row>
    <row r="34" spans="6:7">
      <c r="F34" s="20"/>
      <c r="G34" s="20"/>
    </row>
    <row r="35" spans="6:7">
      <c r="F35" s="20"/>
      <c r="G35" s="20"/>
    </row>
    <row r="36" spans="6:7">
      <c r="F36" s="20"/>
      <c r="G36" s="20"/>
    </row>
    <row r="37" spans="6:7">
      <c r="F37" s="20"/>
      <c r="G37" s="20"/>
    </row>
    <row r="38" spans="6:7">
      <c r="F38" s="20"/>
      <c r="G38" s="20"/>
    </row>
    <row r="39" spans="6:7">
      <c r="F39" s="20"/>
      <c r="G39" s="20"/>
    </row>
    <row r="40" spans="6:7">
      <c r="F40" s="20"/>
      <c r="G40" s="20"/>
    </row>
    <row r="41" spans="6:7">
      <c r="F41" s="20"/>
      <c r="G41" s="20"/>
    </row>
    <row r="42" spans="6:7">
      <c r="F42" s="20"/>
      <c r="G42" s="20"/>
    </row>
    <row r="43" spans="6:7">
      <c r="F43" s="20"/>
      <c r="G43" s="20"/>
    </row>
    <row r="44" spans="6:7">
      <c r="F44" s="20"/>
      <c r="G44" s="20"/>
    </row>
    <row r="45" spans="6:7">
      <c r="F45" s="20"/>
      <c r="G45" s="20"/>
    </row>
    <row r="46" spans="6:7">
      <c r="F46" s="20"/>
      <c r="G46" s="20"/>
    </row>
    <row r="47" spans="6:7">
      <c r="F47" s="20"/>
      <c r="G47" s="20"/>
    </row>
    <row r="48" spans="6:7">
      <c r="F48" s="20"/>
      <c r="G48" s="20"/>
    </row>
    <row r="49" spans="1:10" hidden="1">
      <c r="F49" s="20"/>
      <c r="G49" s="20"/>
    </row>
    <row r="50" spans="1:10" hidden="1">
      <c r="F50" s="20"/>
      <c r="G50" s="20"/>
    </row>
    <row r="51" spans="1:10" hidden="1"/>
    <row r="52" spans="1:10" hidden="1">
      <c r="A52" s="1075" t="s">
        <v>493</v>
      </c>
      <c r="B52" s="1075"/>
      <c r="C52" s="1075"/>
      <c r="D52" s="1075"/>
      <c r="E52" s="1075"/>
      <c r="F52" s="1075"/>
      <c r="G52" s="1075"/>
      <c r="H52" s="1075"/>
    </row>
    <row r="53" spans="1:10" hidden="1"/>
    <row r="54" spans="1:10" hidden="1"/>
    <row r="55" spans="1:10" hidden="1">
      <c r="B55" s="1076" t="s">
        <v>81</v>
      </c>
      <c r="C55" s="1076"/>
      <c r="D55" s="1076"/>
      <c r="E55" s="1076"/>
      <c r="F55" s="1076"/>
      <c r="G55" s="1076"/>
      <c r="H55" s="1076"/>
      <c r="I55" s="1076"/>
      <c r="J55" s="1076"/>
    </row>
    <row r="56" spans="1:10" hidden="1">
      <c r="B56" s="33" t="s">
        <v>439</v>
      </c>
      <c r="C56" s="33" t="s">
        <v>137</v>
      </c>
      <c r="D56" s="33" t="s">
        <v>138</v>
      </c>
      <c r="E56" s="33" t="s">
        <v>442</v>
      </c>
      <c r="F56" s="33" t="s">
        <v>139</v>
      </c>
      <c r="G56" s="33" t="s">
        <v>250</v>
      </c>
      <c r="H56" s="33" t="s">
        <v>251</v>
      </c>
      <c r="I56" s="33" t="s">
        <v>1355</v>
      </c>
      <c r="J56" s="33" t="s">
        <v>1531</v>
      </c>
    </row>
    <row r="57" spans="1:10" hidden="1">
      <c r="A57" s="61" t="s">
        <v>82</v>
      </c>
      <c r="B57" s="20">
        <f>('Fuel use input data'!$D$11*'Fuel use input data'!F11)*38</f>
        <v>0</v>
      </c>
      <c r="C57" s="20">
        <f>('Fuel use input data'!$D$11*'Fuel use input data'!G11)*38</f>
        <v>0</v>
      </c>
      <c r="D57" s="20">
        <f>('Fuel use input data'!$D$11*'Fuel use input data'!H11)*38</f>
        <v>0</v>
      </c>
      <c r="E57" s="20">
        <f>('Fuel use input data'!$D$11*'Fuel use input data'!I11)*38</f>
        <v>0</v>
      </c>
      <c r="F57" s="20">
        <f>('Fuel use input data'!$D$11*'Fuel use input data'!J11)*38</f>
        <v>0</v>
      </c>
      <c r="G57" s="20">
        <f>('Fuel use input data'!$D$11*'Fuel use input data'!K11)*38</f>
        <v>0</v>
      </c>
      <c r="H57" s="20">
        <f>('Fuel use input data'!$D$11*'Fuel use input data'!L11)*38</f>
        <v>0</v>
      </c>
      <c r="I57" s="20">
        <f>($D$11*M11)*38</f>
        <v>0</v>
      </c>
      <c r="J57" s="20">
        <f>($D$11*N11)*38</f>
        <v>0</v>
      </c>
    </row>
    <row r="58" spans="1:10" hidden="1">
      <c r="A58" s="61" t="s">
        <v>83</v>
      </c>
      <c r="B58" s="20">
        <f>('Fuel use input data'!$D$12*'Fuel use input data'!F12)*36</f>
        <v>0</v>
      </c>
      <c r="C58" s="20">
        <f>('Fuel use input data'!$D$12*'Fuel use input data'!G12)*36</f>
        <v>0</v>
      </c>
      <c r="D58" s="20">
        <f>('Fuel use input data'!$D$12*'Fuel use input data'!H12)*36</f>
        <v>0</v>
      </c>
      <c r="E58" s="20">
        <f>('Fuel use input data'!$D$12*'Fuel use input data'!I12)*36</f>
        <v>0</v>
      </c>
      <c r="F58" s="20">
        <f>('Fuel use input data'!$D$12*'Fuel use input data'!J12)*36</f>
        <v>0</v>
      </c>
      <c r="G58" s="20">
        <f>('Fuel use input data'!$D$12*'Fuel use input data'!K12)*36</f>
        <v>0</v>
      </c>
      <c r="H58" s="20">
        <f>('Fuel use input data'!$D$12*'Fuel use input data'!L12)*36</f>
        <v>0</v>
      </c>
      <c r="I58" s="20">
        <f>($D$12*M12)*36</f>
        <v>0</v>
      </c>
      <c r="J58" s="20">
        <f>($D$12*N12)*36</f>
        <v>0</v>
      </c>
    </row>
    <row r="59" spans="1:10" hidden="1">
      <c r="A59" s="61" t="s">
        <v>85</v>
      </c>
      <c r="B59" s="20">
        <f>('Fuel use input data'!$D$13*'Fuel use input data'!F13)*38</f>
        <v>0</v>
      </c>
      <c r="C59" s="20">
        <f>('Fuel use input data'!$D$13*'Fuel use input data'!G13)*38</f>
        <v>0</v>
      </c>
      <c r="D59" s="20">
        <f>('Fuel use input data'!$D$13*'Fuel use input data'!H13)*38</f>
        <v>0</v>
      </c>
      <c r="E59" s="20">
        <f>('Fuel use input data'!$D$13*'Fuel use input data'!I13)*38</f>
        <v>0</v>
      </c>
      <c r="F59" s="20">
        <f>('Fuel use input data'!$D$13*'Fuel use input data'!J13)*38</f>
        <v>0</v>
      </c>
      <c r="G59" s="20">
        <f>('Fuel use input data'!$D$13*'Fuel use input data'!K13)*38</f>
        <v>0</v>
      </c>
      <c r="H59" s="20">
        <f>('Fuel use input data'!$D$13*'Fuel use input data'!L13)*38</f>
        <v>0</v>
      </c>
      <c r="I59" s="20">
        <f>($D$13*M13)*38</f>
        <v>0</v>
      </c>
      <c r="J59" s="20">
        <f>($D$13*N13)*38</f>
        <v>0</v>
      </c>
    </row>
    <row r="60" spans="1:10" hidden="1">
      <c r="A60" s="61" t="s">
        <v>86</v>
      </c>
      <c r="B60" s="20">
        <f>('Fuel use input data'!$D$14*'Fuel use input data'!F14)*50</f>
        <v>0</v>
      </c>
      <c r="C60" s="20">
        <f>('Fuel use input data'!$D$14*'Fuel use input data'!G14)*50</f>
        <v>0</v>
      </c>
      <c r="D60" s="20">
        <f>('Fuel use input data'!$D$14*'Fuel use input data'!H14)*50</f>
        <v>0</v>
      </c>
      <c r="E60" s="20">
        <f>('Fuel use input data'!$D$14*'Fuel use input data'!I14)*50</f>
        <v>0</v>
      </c>
      <c r="F60" s="20">
        <f>('Fuel use input data'!$D$14*'Fuel use input data'!J14)*50</f>
        <v>0</v>
      </c>
      <c r="G60" s="20">
        <f>('Fuel use input data'!$D$14*'Fuel use input data'!K14)*50</f>
        <v>0</v>
      </c>
      <c r="H60" s="20">
        <f>('Fuel use input data'!$D$14*'Fuel use input data'!L14)*50</f>
        <v>0</v>
      </c>
      <c r="I60" s="20">
        <f>($D$14*M14)*50</f>
        <v>0</v>
      </c>
      <c r="J60" s="20">
        <f>($D$14*N14)*50</f>
        <v>0</v>
      </c>
    </row>
    <row r="61" spans="1:10" hidden="1">
      <c r="A61" s="61" t="s">
        <v>87</v>
      </c>
      <c r="B61" s="20">
        <f>('Fuel use input data'!$D$15*'Fuel use input data'!F15)*38</f>
        <v>0</v>
      </c>
      <c r="C61" s="20">
        <f>('Fuel use input data'!$D$15*'Fuel use input data'!G15)*38</f>
        <v>0</v>
      </c>
      <c r="D61" s="20">
        <f>('Fuel use input data'!$D$15*'Fuel use input data'!H15)*38</f>
        <v>0</v>
      </c>
      <c r="E61" s="20">
        <f>('Fuel use input data'!$D$15*'Fuel use input data'!I15)*38</f>
        <v>0</v>
      </c>
      <c r="F61" s="20">
        <f>('Fuel use input data'!$D$15*'Fuel use input data'!J15)*38</f>
        <v>0</v>
      </c>
      <c r="G61" s="20">
        <f>('Fuel use input data'!$D$15*'Fuel use input data'!K15)*38</f>
        <v>0</v>
      </c>
      <c r="H61" s="20">
        <f>('Fuel use input data'!$D$15*'Fuel use input data'!L15)*38</f>
        <v>0</v>
      </c>
      <c r="I61" s="20">
        <f>($D$15*M15)*38</f>
        <v>0</v>
      </c>
      <c r="J61" s="20">
        <f>($D$15*N15)*38</f>
        <v>0</v>
      </c>
    </row>
    <row r="62" spans="1:10" hidden="1">
      <c r="A62" s="61" t="s">
        <v>84</v>
      </c>
      <c r="B62" s="20">
        <f>('Fuel use input data'!$D$16*'Fuel use input data'!F16)*3.5997</f>
        <v>0</v>
      </c>
      <c r="C62" s="20">
        <f>('Fuel use input data'!$D$16*'Fuel use input data'!G16)*3.5997</f>
        <v>0</v>
      </c>
      <c r="D62" s="20">
        <f>('Fuel use input data'!$D$16*'Fuel use input data'!H16)*3.5997</f>
        <v>0</v>
      </c>
      <c r="E62" s="20">
        <f>('Fuel use input data'!$D$16*'Fuel use input data'!I16)*3.5997</f>
        <v>0</v>
      </c>
      <c r="F62" s="20">
        <f>('Fuel use input data'!$D$16*'Fuel use input data'!J16)*3.5997</f>
        <v>0</v>
      </c>
      <c r="G62" s="20">
        <f>('Fuel use input data'!$D$16*'Fuel use input data'!K16)*3.5997</f>
        <v>0</v>
      </c>
      <c r="H62" s="20">
        <f>('Fuel use input data'!$D$16*'Fuel use input data'!L16)*3.5997</f>
        <v>0</v>
      </c>
      <c r="I62" s="20">
        <f>($D$16*M16)*3.5997</f>
        <v>0</v>
      </c>
      <c r="J62" s="20">
        <f>($D$16*N16)*3.5997</f>
        <v>0</v>
      </c>
    </row>
    <row r="63" spans="1:10" hidden="1">
      <c r="A63" s="29" t="s">
        <v>1353</v>
      </c>
      <c r="B63" s="20">
        <f>('Fuel use input data'!$D$17*'Fuel use input data'!F17)*3.5997</f>
        <v>0</v>
      </c>
      <c r="C63" s="20">
        <f>('Fuel use input data'!$D$17*'Fuel use input data'!G17)*3.5997</f>
        <v>0</v>
      </c>
      <c r="D63" s="20">
        <f>('Fuel use input data'!$D$17*'Fuel use input data'!H17)*3.5997</f>
        <v>0</v>
      </c>
      <c r="E63" s="20">
        <f>('Fuel use input data'!$D$17*'Fuel use input data'!I17)*3.5997</f>
        <v>0</v>
      </c>
      <c r="F63" s="20">
        <f>('Fuel use input data'!$D$17*'Fuel use input data'!J17)*3.5997</f>
        <v>0</v>
      </c>
      <c r="G63" s="20">
        <f>('Fuel use input data'!$D$17*'Fuel use input data'!K17)*3.5997</f>
        <v>0</v>
      </c>
      <c r="H63" s="20">
        <f>('Fuel use input data'!$D$17*'Fuel use input data'!L17)*3.5997</f>
        <v>0</v>
      </c>
      <c r="I63" s="20">
        <f>($D$17*M17)*3.5997</f>
        <v>0</v>
      </c>
      <c r="J63" s="20">
        <f>($D$17*N17)*3.5997</f>
        <v>0</v>
      </c>
    </row>
    <row r="64" spans="1:10" hidden="1">
      <c r="A64" s="29" t="s">
        <v>559</v>
      </c>
      <c r="B64" s="20">
        <f>('Fuel use input data'!$D$18*'Fuel use input data'!F18)*39.22</f>
        <v>0</v>
      </c>
      <c r="C64" s="20">
        <f>('Fuel use input data'!$D$18*'Fuel use input data'!G18)*39.22</f>
        <v>0</v>
      </c>
      <c r="D64" s="20">
        <f>('Fuel use input data'!$D$18*'Fuel use input data'!H18)*39.22</f>
        <v>0</v>
      </c>
      <c r="E64" s="20">
        <f>('Fuel use input data'!$D$18*'Fuel use input data'!I18)*39.22</f>
        <v>0</v>
      </c>
      <c r="F64" s="20">
        <f>('Fuel use input data'!$D$18*'Fuel use input data'!J18)*39.22</f>
        <v>0</v>
      </c>
      <c r="G64" s="20">
        <f>('Fuel use input data'!$D$18*'Fuel use input data'!K18)*39.22</f>
        <v>0</v>
      </c>
      <c r="H64" s="20">
        <f>('Fuel use input data'!$D$18*'Fuel use input data'!L18)*39.22</f>
        <v>0</v>
      </c>
      <c r="I64" s="20">
        <f>($D$18*M18)*39.22</f>
        <v>0</v>
      </c>
      <c r="J64" s="20">
        <f>($D$18*N18)*39.22</f>
        <v>0</v>
      </c>
    </row>
    <row r="65" spans="1:10" hidden="1">
      <c r="A65" s="29" t="s">
        <v>1354</v>
      </c>
      <c r="B65" s="20">
        <f t="shared" ref="B65:J65" si="1">IF($E$19=$D$116,(($D$19/1.84)*7500)*F19,(($D$19*F19)*7500))</f>
        <v>0</v>
      </c>
      <c r="C65" s="20">
        <f t="shared" si="1"/>
        <v>0</v>
      </c>
      <c r="D65" s="20">
        <f t="shared" si="1"/>
        <v>0</v>
      </c>
      <c r="E65" s="20">
        <f t="shared" si="1"/>
        <v>0</v>
      </c>
      <c r="F65" s="20">
        <f t="shared" si="1"/>
        <v>0</v>
      </c>
      <c r="G65" s="20">
        <f t="shared" si="1"/>
        <v>0</v>
      </c>
      <c r="H65" s="20">
        <f t="shared" si="1"/>
        <v>0</v>
      </c>
      <c r="I65" s="20">
        <f t="shared" si="1"/>
        <v>0</v>
      </c>
      <c r="J65" s="20">
        <f t="shared" si="1"/>
        <v>0</v>
      </c>
    </row>
    <row r="66" spans="1:10" hidden="1">
      <c r="A66" s="63" t="s">
        <v>145</v>
      </c>
      <c r="B66" s="64">
        <f>SUM(B57:B65)</f>
        <v>0</v>
      </c>
      <c r="C66" s="64">
        <f t="shared" ref="C66:H66" si="2">SUM(C57:C65)</f>
        <v>0</v>
      </c>
      <c r="D66" s="64">
        <f t="shared" si="2"/>
        <v>0</v>
      </c>
      <c r="E66" s="64">
        <f>SUM(E57:E65)</f>
        <v>0</v>
      </c>
      <c r="F66" s="64">
        <f t="shared" si="2"/>
        <v>0</v>
      </c>
      <c r="G66" s="64">
        <f t="shared" si="2"/>
        <v>0</v>
      </c>
      <c r="H66" s="64">
        <f t="shared" si="2"/>
        <v>0</v>
      </c>
      <c r="I66" s="64">
        <f>SUM(I57:I65)</f>
        <v>0</v>
      </c>
      <c r="J66" s="64">
        <f>SUM(J57:J65)</f>
        <v>0</v>
      </c>
    </row>
    <row r="67" spans="1:10" hidden="1">
      <c r="A67" s="63"/>
      <c r="B67" s="64"/>
      <c r="C67" s="64"/>
      <c r="D67" s="64"/>
      <c r="E67" s="64"/>
      <c r="F67" s="64"/>
      <c r="G67" s="64"/>
      <c r="H67" s="64"/>
    </row>
    <row r="68" spans="1:10" hidden="1">
      <c r="A68" s="63"/>
      <c r="B68" s="1077" t="s">
        <v>141</v>
      </c>
      <c r="C68" s="1077"/>
      <c r="D68" s="1077"/>
      <c r="E68" s="1077"/>
      <c r="F68" s="1077"/>
      <c r="G68" s="1077"/>
      <c r="H68" s="1077"/>
      <c r="I68" s="1077"/>
      <c r="J68" s="1077"/>
    </row>
    <row r="69" spans="1:10" hidden="1">
      <c r="A69" s="63"/>
      <c r="B69" s="65" t="s">
        <v>136</v>
      </c>
      <c r="C69" s="65" t="s">
        <v>137</v>
      </c>
      <c r="D69" s="65" t="s">
        <v>138</v>
      </c>
      <c r="E69" s="65" t="s">
        <v>442</v>
      </c>
      <c r="F69" s="65" t="s">
        <v>139</v>
      </c>
      <c r="G69" s="65" t="s">
        <v>250</v>
      </c>
      <c r="H69" s="65" t="s">
        <v>251</v>
      </c>
      <c r="I69" s="65" t="s">
        <v>1355</v>
      </c>
      <c r="J69" s="65" t="s">
        <v>1531</v>
      </c>
    </row>
    <row r="70" spans="1:10" hidden="1">
      <c r="A70" s="61" t="s">
        <v>82</v>
      </c>
      <c r="B70" s="20">
        <f>('Fuel use input data'!$D$11*'Fuel use input data'!F11)*2.63</f>
        <v>0</v>
      </c>
      <c r="C70" s="20">
        <f>('Fuel use input data'!$D$11*'Fuel use input data'!G11)*2.63</f>
        <v>0</v>
      </c>
      <c r="D70" s="20">
        <f>('Fuel use input data'!$D$11*'Fuel use input data'!H11)*2.63</f>
        <v>0</v>
      </c>
      <c r="E70" s="20">
        <f>('Fuel use input data'!$D$11*'Fuel use input data'!I11)*2.63</f>
        <v>0</v>
      </c>
      <c r="F70" s="20">
        <f>('Fuel use input data'!$D$11*'Fuel use input data'!J11)*2.63</f>
        <v>0</v>
      </c>
      <c r="G70" s="20">
        <f>('Fuel use input data'!$D$11*'Fuel use input data'!K11)*2.63</f>
        <v>0</v>
      </c>
      <c r="H70" s="20">
        <f>('Fuel use input data'!$D$11*'Fuel use input data'!L11)*2.63</f>
        <v>0</v>
      </c>
      <c r="I70" s="20">
        <f t="shared" ref="I70:J75" si="3">($D$11*M11)*2.63</f>
        <v>0</v>
      </c>
      <c r="J70" s="20">
        <f t="shared" si="3"/>
        <v>0</v>
      </c>
    </row>
    <row r="71" spans="1:10" hidden="1">
      <c r="A71" s="61" t="s">
        <v>83</v>
      </c>
      <c r="B71" s="20">
        <f>('Fuel use input data'!$D$12*'Fuel use input data'!F12)*2.315</f>
        <v>0</v>
      </c>
      <c r="C71" s="20">
        <f>('Fuel use input data'!$D$12*'Fuel use input data'!G12)*2.315</f>
        <v>0</v>
      </c>
      <c r="D71" s="20">
        <f>('Fuel use input data'!$D$12*'Fuel use input data'!H12)*2.315</f>
        <v>0</v>
      </c>
      <c r="E71" s="20">
        <f>('Fuel use input data'!$D$12*'Fuel use input data'!I12)*2.315</f>
        <v>0</v>
      </c>
      <c r="F71" s="20">
        <f>('Fuel use input data'!$D$12*'Fuel use input data'!J12)*2.315</f>
        <v>0</v>
      </c>
      <c r="G71" s="20">
        <f>('Fuel use input data'!$D$12*'Fuel use input data'!K12)*2.315</f>
        <v>0</v>
      </c>
      <c r="H71" s="20">
        <f>('Fuel use input data'!$D$11*'Fuel use input data'!L12)*2.63</f>
        <v>0</v>
      </c>
      <c r="I71" s="20">
        <f t="shared" si="3"/>
        <v>0</v>
      </c>
      <c r="J71" s="20">
        <f t="shared" si="3"/>
        <v>0</v>
      </c>
    </row>
    <row r="72" spans="1:10" hidden="1">
      <c r="A72" s="61" t="s">
        <v>85</v>
      </c>
      <c r="B72" s="20">
        <f>('Fuel use input data'!$D$13*'Fuel use input data'!F13)*2.63</f>
        <v>0</v>
      </c>
      <c r="C72" s="20">
        <f>('Fuel use input data'!$D$13*'Fuel use input data'!G13)*2.63</f>
        <v>0</v>
      </c>
      <c r="D72" s="20">
        <f>('Fuel use input data'!$D$13*'Fuel use input data'!H13)*2.63</f>
        <v>0</v>
      </c>
      <c r="E72" s="20">
        <f>('Fuel use input data'!$D$13*'Fuel use input data'!I13)*2.63</f>
        <v>0</v>
      </c>
      <c r="F72" s="20">
        <f>('Fuel use input data'!$D$13*'Fuel use input data'!J13)*2.63</f>
        <v>0</v>
      </c>
      <c r="G72" s="20">
        <f>('Fuel use input data'!$D$13*'Fuel use input data'!K13)*2.63</f>
        <v>0</v>
      </c>
      <c r="H72" s="20">
        <f>('Fuel use input data'!$D$11*'Fuel use input data'!L13)*2.63</f>
        <v>0</v>
      </c>
      <c r="I72" s="20">
        <f t="shared" si="3"/>
        <v>0</v>
      </c>
      <c r="J72" s="20">
        <f t="shared" si="3"/>
        <v>0</v>
      </c>
    </row>
    <row r="73" spans="1:10" hidden="1">
      <c r="A73" s="61" t="s">
        <v>86</v>
      </c>
      <c r="B73" s="20">
        <f>('Fuel use input data'!$D$14*'Fuel use input data'!F14)*1.51</f>
        <v>0</v>
      </c>
      <c r="C73" s="20">
        <f>('Fuel use input data'!$D$14*'Fuel use input data'!G14)*1.51</f>
        <v>0</v>
      </c>
      <c r="D73" s="20">
        <f>('Fuel use input data'!$D$14*'Fuel use input data'!H14)*1.51</f>
        <v>0</v>
      </c>
      <c r="E73" s="20">
        <f>('Fuel use input data'!$D$14*'Fuel use input data'!I14)*1.51</f>
        <v>0</v>
      </c>
      <c r="F73" s="20">
        <f>('Fuel use input data'!$D$14*'Fuel use input data'!J14)*1.51</f>
        <v>0</v>
      </c>
      <c r="G73" s="20">
        <f>('Fuel use input data'!$D$14*'Fuel use input data'!K14)*1.51</f>
        <v>0</v>
      </c>
      <c r="H73" s="20">
        <f>('Fuel use input data'!$D$11*'Fuel use input data'!L14)*2.63</f>
        <v>0</v>
      </c>
      <c r="I73" s="20">
        <f t="shared" si="3"/>
        <v>0</v>
      </c>
      <c r="J73" s="20">
        <f t="shared" si="3"/>
        <v>0</v>
      </c>
    </row>
    <row r="74" spans="1:10" hidden="1">
      <c r="A74" s="61" t="s">
        <v>87</v>
      </c>
      <c r="B74" s="20">
        <f>('Fuel use input data'!$D$15*'Fuel use input data'!F15)*2.52</f>
        <v>0</v>
      </c>
      <c r="C74" s="20">
        <f>('Fuel use input data'!$D$15*'Fuel use input data'!G15)*2.52</f>
        <v>0</v>
      </c>
      <c r="D74" s="20">
        <f>('Fuel use input data'!$D$15*'Fuel use input data'!H15)*2.52</f>
        <v>0</v>
      </c>
      <c r="E74" s="20">
        <f>('Fuel use input data'!$D$15*'Fuel use input data'!I15)*2.52</f>
        <v>0</v>
      </c>
      <c r="F74" s="20">
        <f>('Fuel use input data'!$D$15*'Fuel use input data'!J15)*2.52</f>
        <v>0</v>
      </c>
      <c r="G74" s="20">
        <f>('Fuel use input data'!$D$15*'Fuel use input data'!K15)*2.52</f>
        <v>0</v>
      </c>
      <c r="H74" s="20">
        <f>('Fuel use input data'!$D$11*'Fuel use input data'!L15)*2.63</f>
        <v>0</v>
      </c>
      <c r="I74" s="20">
        <f t="shared" si="3"/>
        <v>0</v>
      </c>
      <c r="J74" s="20">
        <f t="shared" si="3"/>
        <v>0</v>
      </c>
    </row>
    <row r="75" spans="1:10" hidden="1">
      <c r="A75" s="61" t="s">
        <v>84</v>
      </c>
      <c r="B75" s="20">
        <f>('Fuel use input data'!$D$16*'Fuel use input data'!F16)*0.537</f>
        <v>0</v>
      </c>
      <c r="C75" s="20">
        <f>('Fuel use input data'!$D$16*'Fuel use input data'!G16)*0.537</f>
        <v>0</v>
      </c>
      <c r="D75" s="20">
        <f>('Fuel use input data'!$D$16*'Fuel use input data'!H16)*0.537</f>
        <v>0</v>
      </c>
      <c r="E75" s="20">
        <f>('Fuel use input data'!$D$16*'Fuel use input data'!I16)*0.537</f>
        <v>0</v>
      </c>
      <c r="F75" s="20">
        <f>('Fuel use input data'!$D$16*'Fuel use input data'!J16)*0.537</f>
        <v>0</v>
      </c>
      <c r="G75" s="20">
        <f>('Fuel use input data'!$D$16*'Fuel use input data'!K16)*0.537</f>
        <v>0</v>
      </c>
      <c r="H75" s="20">
        <f>('Fuel use input data'!$D$11*'Fuel use input data'!L16)*2.63</f>
        <v>0</v>
      </c>
      <c r="I75" s="20">
        <f t="shared" si="3"/>
        <v>0</v>
      </c>
      <c r="J75" s="20">
        <f t="shared" si="3"/>
        <v>0</v>
      </c>
    </row>
    <row r="76" spans="1:10" hidden="1">
      <c r="A76" s="29" t="s">
        <v>1353</v>
      </c>
      <c r="B76" s="20">
        <f t="shared" ref="B76:J76" si="4">($D$17*F17)*0</f>
        <v>0</v>
      </c>
      <c r="C76" s="20">
        <f t="shared" si="4"/>
        <v>0</v>
      </c>
      <c r="D76" s="20">
        <f t="shared" si="4"/>
        <v>0</v>
      </c>
      <c r="E76" s="20">
        <f t="shared" si="4"/>
        <v>0</v>
      </c>
      <c r="F76" s="20">
        <f t="shared" si="4"/>
        <v>0</v>
      </c>
      <c r="G76" s="20">
        <f t="shared" si="4"/>
        <v>0</v>
      </c>
      <c r="H76" s="20">
        <f t="shared" si="4"/>
        <v>0</v>
      </c>
      <c r="I76" s="20">
        <f t="shared" si="4"/>
        <v>0</v>
      </c>
      <c r="J76" s="20">
        <f t="shared" si="4"/>
        <v>0</v>
      </c>
    </row>
    <row r="77" spans="1:10" hidden="1">
      <c r="A77" s="29" t="s">
        <v>559</v>
      </c>
      <c r="B77" s="20">
        <f>('Fuel use input data'!$D$18*10.9*'Fuel use input data'!F18)*39.22</f>
        <v>0</v>
      </c>
      <c r="C77" s="20">
        <f>('Fuel use input data'!$D$18*10.9*'Fuel use input data'!G18)*39.22</f>
        <v>0</v>
      </c>
      <c r="D77" s="20">
        <f>('Fuel use input data'!$D$18*10.9*'Fuel use input data'!H18)*39.22</f>
        <v>0</v>
      </c>
      <c r="E77" s="20">
        <f>('Fuel use input data'!$D$18*10.9*'Fuel use input data'!I18)*39.22</f>
        <v>0</v>
      </c>
      <c r="F77" s="20">
        <f>('Fuel use input data'!$D$18*10.9*'Fuel use input data'!J18)*39.22</f>
        <v>0</v>
      </c>
      <c r="G77" s="20">
        <f>('Fuel use input data'!$D$18*10.9*'Fuel use input data'!K18)*39.22</f>
        <v>0</v>
      </c>
      <c r="H77" s="20">
        <f>('Fuel use input data'!$D$18*10.9*'Fuel use input data'!L18)*39.22</f>
        <v>0</v>
      </c>
      <c r="I77" s="20">
        <f>($D$18*10.9*M18)*39.22</f>
        <v>0</v>
      </c>
      <c r="J77" s="20">
        <f>($D$18*10.9*N18)*39.22</f>
        <v>0</v>
      </c>
    </row>
    <row r="78" spans="1:10" hidden="1">
      <c r="A78" s="29" t="s">
        <v>1354</v>
      </c>
      <c r="B78" s="20">
        <f t="shared" ref="B78:J78" si="5">($D$19*F19)*0</f>
        <v>0</v>
      </c>
      <c r="C78" s="20">
        <f t="shared" si="5"/>
        <v>0</v>
      </c>
      <c r="D78" s="20">
        <f t="shared" si="5"/>
        <v>0</v>
      </c>
      <c r="E78" s="20">
        <f t="shared" si="5"/>
        <v>0</v>
      </c>
      <c r="F78" s="20">
        <f t="shared" si="5"/>
        <v>0</v>
      </c>
      <c r="G78" s="20">
        <f t="shared" si="5"/>
        <v>0</v>
      </c>
      <c r="H78" s="20">
        <f t="shared" si="5"/>
        <v>0</v>
      </c>
      <c r="I78" s="20">
        <f t="shared" si="5"/>
        <v>0</v>
      </c>
      <c r="J78" s="20">
        <f t="shared" si="5"/>
        <v>0</v>
      </c>
    </row>
    <row r="79" spans="1:10" hidden="1">
      <c r="A79" s="63"/>
      <c r="B79" s="64">
        <f>SUM(B70:B77)</f>
        <v>0</v>
      </c>
      <c r="C79" s="64">
        <f t="shared" ref="C79:H79" si="6">SUM(C70:C77)</f>
        <v>0</v>
      </c>
      <c r="D79" s="64">
        <f t="shared" si="6"/>
        <v>0</v>
      </c>
      <c r="E79" s="64">
        <f t="shared" si="6"/>
        <v>0</v>
      </c>
      <c r="F79" s="64">
        <f t="shared" si="6"/>
        <v>0</v>
      </c>
      <c r="G79" s="64">
        <f t="shared" si="6"/>
        <v>0</v>
      </c>
      <c r="H79" s="64">
        <f t="shared" si="6"/>
        <v>0</v>
      </c>
      <c r="I79" s="64">
        <f>SUM(I70:I78)</f>
        <v>0</v>
      </c>
      <c r="J79" s="64">
        <f>SUM(J70:J78)</f>
        <v>0</v>
      </c>
    </row>
    <row r="80" spans="1:10" hidden="1">
      <c r="A80" s="63"/>
      <c r="B80" s="7"/>
      <c r="C80" s="7"/>
      <c r="D80" s="7"/>
      <c r="E80" s="7"/>
      <c r="F80" s="7"/>
      <c r="G80" s="7"/>
      <c r="H80" s="7"/>
    </row>
    <row r="81" spans="1:8" hidden="1">
      <c r="A81" s="80" t="s">
        <v>546</v>
      </c>
      <c r="B81" s="80"/>
      <c r="C81" s="78"/>
      <c r="D81" s="78"/>
      <c r="E81" s="64"/>
      <c r="F81" s="7"/>
      <c r="G81" s="7"/>
      <c r="H81" s="7"/>
    </row>
    <row r="82" spans="1:8" ht="39" hidden="1">
      <c r="A82" s="77"/>
      <c r="B82" s="3" t="s">
        <v>81</v>
      </c>
      <c r="C82" s="3" t="s">
        <v>589</v>
      </c>
      <c r="D82" s="3" t="s">
        <v>537</v>
      </c>
      <c r="E82" s="64"/>
      <c r="F82" s="7"/>
      <c r="G82" s="7"/>
      <c r="H82" s="7"/>
    </row>
    <row r="83" spans="1:8" hidden="1">
      <c r="A83" s="79" t="s">
        <v>548</v>
      </c>
      <c r="B83" s="20">
        <f t="shared" ref="B83:B89" si="7">D83*38</f>
        <v>0</v>
      </c>
      <c r="C83" s="20">
        <f>D23*39.5</f>
        <v>0</v>
      </c>
      <c r="D83">
        <f>C83/2.63</f>
        <v>0</v>
      </c>
      <c r="E83" s="64"/>
      <c r="F83" s="7"/>
      <c r="G83" s="7"/>
      <c r="H83" s="7"/>
    </row>
    <row r="84" spans="1:8" hidden="1">
      <c r="A84" s="79" t="s">
        <v>549</v>
      </c>
      <c r="B84" s="20">
        <f t="shared" si="7"/>
        <v>0</v>
      </c>
      <c r="C84" s="20">
        <f>D24*60.5</f>
        <v>0</v>
      </c>
      <c r="D84">
        <f>C84/2.63</f>
        <v>0</v>
      </c>
      <c r="E84" s="64"/>
      <c r="F84" s="7"/>
      <c r="G84" s="7"/>
      <c r="H84" s="7"/>
    </row>
    <row r="85" spans="1:8" hidden="1">
      <c r="A85" s="79" t="s">
        <v>550</v>
      </c>
      <c r="B85" s="20">
        <f t="shared" si="7"/>
        <v>0</v>
      </c>
      <c r="C85" s="20">
        <f>D25*84.2</f>
        <v>0</v>
      </c>
      <c r="D85">
        <f>C85/2.63</f>
        <v>0</v>
      </c>
      <c r="E85" s="64"/>
      <c r="F85" s="7"/>
      <c r="G85" s="7"/>
      <c r="H85" s="7"/>
    </row>
    <row r="86" spans="1:8" hidden="1">
      <c r="A86" s="79" t="s">
        <v>551</v>
      </c>
      <c r="B86" s="20">
        <f t="shared" si="7"/>
        <v>0</v>
      </c>
      <c r="C86" s="20">
        <f>D26*107.8</f>
        <v>0</v>
      </c>
      <c r="D86">
        <f>C86/2.63</f>
        <v>0</v>
      </c>
      <c r="E86" s="64"/>
      <c r="F86" s="7"/>
      <c r="G86" s="7"/>
      <c r="H86" s="7"/>
    </row>
    <row r="87" spans="1:8" hidden="1">
      <c r="A87" s="79" t="s">
        <v>543</v>
      </c>
      <c r="B87" s="20">
        <f t="shared" si="7"/>
        <v>0</v>
      </c>
      <c r="C87" s="20">
        <f>D27*139.4</f>
        <v>0</v>
      </c>
      <c r="D87">
        <f>C87/2.63</f>
        <v>0</v>
      </c>
      <c r="E87" s="64"/>
      <c r="F87" s="7"/>
      <c r="G87" s="7"/>
      <c r="H87" s="7"/>
    </row>
    <row r="88" spans="1:8" hidden="1">
      <c r="A88" s="79" t="s">
        <v>552</v>
      </c>
      <c r="B88" s="20">
        <f t="shared" si="7"/>
        <v>0</v>
      </c>
      <c r="C88" s="20">
        <f>D88*2.63</f>
        <v>0</v>
      </c>
      <c r="D88">
        <f>D28*180</f>
        <v>0</v>
      </c>
      <c r="E88" s="64"/>
      <c r="F88" s="7"/>
      <c r="G88" s="7"/>
      <c r="H88" s="7"/>
    </row>
    <row r="89" spans="1:8" hidden="1">
      <c r="A89" s="79" t="s">
        <v>553</v>
      </c>
      <c r="B89" s="20">
        <f t="shared" si="7"/>
        <v>0</v>
      </c>
      <c r="C89" s="20">
        <f>D89*2.63</f>
        <v>0</v>
      </c>
      <c r="D89">
        <f>18*D29</f>
        <v>0</v>
      </c>
      <c r="E89" s="64"/>
      <c r="F89" s="7"/>
      <c r="G89" s="7"/>
      <c r="H89" s="7"/>
    </row>
    <row r="90" spans="1:8" hidden="1">
      <c r="E90" s="64"/>
      <c r="F90" s="7"/>
      <c r="G90" s="7"/>
      <c r="H90" s="7"/>
    </row>
    <row r="91" spans="1:8" hidden="1">
      <c r="A91" s="1074" t="s">
        <v>555</v>
      </c>
      <c r="B91" s="1074"/>
      <c r="C91" s="1074"/>
      <c r="E91" s="64"/>
      <c r="F91" s="7"/>
      <c r="G91" s="7"/>
      <c r="H91" s="7"/>
    </row>
    <row r="92" spans="1:8" hidden="1">
      <c r="A92" s="10"/>
      <c r="B92" s="3" t="s">
        <v>142</v>
      </c>
      <c r="C92" s="3" t="s">
        <v>547</v>
      </c>
      <c r="D92" s="3" t="s">
        <v>88</v>
      </c>
      <c r="E92" s="64"/>
      <c r="F92" s="7"/>
      <c r="G92" s="7"/>
      <c r="H92" s="7"/>
    </row>
    <row r="93" spans="1:8" hidden="1">
      <c r="A93" s="76" t="s">
        <v>136</v>
      </c>
      <c r="B93" s="20">
        <f>(B83*$F$23)+(B84*$F$24)+(B85*$F$25)+(B86*$F$26)+(B87*$F$27)+(B88*$F$28)+(B89*$F$29)</f>
        <v>0</v>
      </c>
      <c r="C93" s="20">
        <f>(C83*$F$23)+(C84*$F$24)+(C85*$F$25)+(C86*$F$26)+(C87*$F$27)+(C88*$F$28)+(C89*$F$29)</f>
        <v>0</v>
      </c>
      <c r="D93" s="20">
        <f>B93/38</f>
        <v>0</v>
      </c>
      <c r="E93" s="64"/>
      <c r="F93" s="7"/>
      <c r="G93" s="7"/>
      <c r="H93" s="7"/>
    </row>
    <row r="94" spans="1:8" hidden="1">
      <c r="A94" s="76" t="s">
        <v>143</v>
      </c>
      <c r="B94" s="20">
        <f>(B83*$G$23)+(B84*$G$24)+(B85*$G$25)+(B86*$G$26)+(B87*$G$27)+(B88*$G$28)+(B89*$G$29)</f>
        <v>0</v>
      </c>
      <c r="C94" s="20">
        <f>(C83*$G$23)+(C84*$G$24)+(C85*$G$25)+(C86*$G$26)+(C87*$G$27)+(C88*$G$28)+(C89*$G$29)</f>
        <v>0</v>
      </c>
      <c r="D94" s="20">
        <f t="shared" ref="D94:D99" si="8">B94/38</f>
        <v>0</v>
      </c>
      <c r="E94" s="64"/>
      <c r="F94" s="7"/>
      <c r="G94" s="7"/>
      <c r="H94" s="7"/>
    </row>
    <row r="95" spans="1:8" hidden="1">
      <c r="A95" s="76" t="s">
        <v>138</v>
      </c>
      <c r="B95" s="20">
        <f>(B83*$H$23)+(B84*$H$24)+(B85*$H$25)+(B86*$H$26)+(B87*$H$27)+(B88*$H$28)+(B89*$H$29)</f>
        <v>0</v>
      </c>
      <c r="C95" s="20">
        <f>(C83*$H$23)+(C84*$H$24)+(C85*$H$25)+(C86*$H$26)+(C87*$H$27)+(C88*$H$28)+(C89*$H$29)</f>
        <v>0</v>
      </c>
      <c r="D95" s="20">
        <f t="shared" si="8"/>
        <v>0</v>
      </c>
      <c r="E95" s="64"/>
      <c r="F95" s="7"/>
      <c r="G95" s="7"/>
      <c r="H95" s="7"/>
    </row>
    <row r="96" spans="1:8" hidden="1">
      <c r="A96" s="76" t="s">
        <v>442</v>
      </c>
      <c r="B96" s="20">
        <f>(B83*$I$23)+(B84*$I$24)+(B85*$I$25)+(B86*$I$26)+(B87*$I$27)+(B88*$I$28)+(B89*$I$29)</f>
        <v>0</v>
      </c>
      <c r="C96" s="20">
        <f>(C83*$I$23)+(C84*$I$24)+(C85*$I$25)+(C86*$I$26)+(C87*$I$27)+(C88*$I$28)+(C89*$I$29)</f>
        <v>0</v>
      </c>
      <c r="D96" s="20">
        <f t="shared" si="8"/>
        <v>0</v>
      </c>
      <c r="E96" s="64"/>
      <c r="F96" s="7"/>
      <c r="G96" s="7"/>
      <c r="H96" s="7"/>
    </row>
    <row r="97" spans="1:8" hidden="1">
      <c r="A97" s="76" t="s">
        <v>139</v>
      </c>
      <c r="B97" s="20">
        <f>(B83*$J$23)+(B84*$J$24)+(B85*$J$25)+(B86*$J$26)+(B87*$J$27)+(B88*$J$28)+(B89*$J$29)</f>
        <v>0</v>
      </c>
      <c r="C97" s="20">
        <f>(C83*$J$23)+(C84*$J$24)+(C85*$J$25)+(C86*$J$26)+(C87*$J$27)+(C88*$J$28)+(C89*$J$29)</f>
        <v>0</v>
      </c>
      <c r="D97" s="20">
        <f t="shared" si="8"/>
        <v>0</v>
      </c>
      <c r="E97" s="64"/>
      <c r="F97" s="7"/>
      <c r="G97" s="7"/>
      <c r="H97" s="7"/>
    </row>
    <row r="98" spans="1:8" hidden="1">
      <c r="A98" s="76" t="s">
        <v>250</v>
      </c>
      <c r="B98" s="20">
        <f>(B83*$K$23)+(B84*$K$24)+(B85*$K$25)+(B86*$K$26)+(B87*$K$27)+(B88*$K$28)+(B89*$K$29)</f>
        <v>0</v>
      </c>
      <c r="C98" s="20">
        <f>(C83*$K$23)+(C84*$K$24)+(C85*$K$25)+(C86*$K$26)+(C87*$K$27)+(C88*$K$28)+(C89*$K$29)</f>
        <v>0</v>
      </c>
      <c r="D98" s="20">
        <f t="shared" si="8"/>
        <v>0</v>
      </c>
      <c r="E98" s="64"/>
      <c r="F98" s="7"/>
      <c r="G98" s="7"/>
      <c r="H98" s="7"/>
    </row>
    <row r="99" spans="1:8" hidden="1">
      <c r="A99" s="76" t="s">
        <v>554</v>
      </c>
      <c r="B99" s="20">
        <f>(B83*$L$23)+(B84*$L$24)+(B85*$L$25)+(B86*$L$26)+(B87*$L$27)+(B88*$L$28)+(B89*$L$29)</f>
        <v>0</v>
      </c>
      <c r="C99" s="20">
        <f>(C83*$L$23)+(C84*$L$24)+(C85*$L$25)+(C86*$L$26)+(C87*$L$27)+(C88*$L$28)+(C89*$L$29)</f>
        <v>0</v>
      </c>
      <c r="D99" s="20">
        <f t="shared" si="8"/>
        <v>0</v>
      </c>
      <c r="E99" s="64"/>
      <c r="F99" s="7"/>
      <c r="G99" s="7"/>
      <c r="H99" s="7"/>
    </row>
    <row r="100" spans="1:8" hidden="1">
      <c r="A100" s="242" t="s">
        <v>1350</v>
      </c>
      <c r="B100" s="20">
        <f>(B83*$M$23)+(B84*$M$24)+(B85*$M$25)+(B86*$M$26)+(B87*$M$27)</f>
        <v>0</v>
      </c>
      <c r="C100" s="20">
        <f>(C83*$M$23)+(C84*$M$24)+(C85*$M$25)+(C86*$M$26)+(C87*$M$27)</f>
        <v>0</v>
      </c>
      <c r="D100" s="20">
        <f>B100/38</f>
        <v>0</v>
      </c>
      <c r="E100" s="64"/>
      <c r="F100" s="7"/>
      <c r="G100" s="7"/>
      <c r="H100" s="7"/>
    </row>
    <row r="101" spans="1:8" hidden="1">
      <c r="A101" s="242" t="s">
        <v>1531</v>
      </c>
      <c r="B101" s="20">
        <f>J66</f>
        <v>0</v>
      </c>
      <c r="C101" s="20">
        <f>J79</f>
        <v>0</v>
      </c>
      <c r="D101" s="20">
        <f>B101/38</f>
        <v>0</v>
      </c>
      <c r="E101" s="64"/>
      <c r="F101" s="7"/>
      <c r="G101" s="7"/>
      <c r="H101" s="7"/>
    </row>
    <row r="102" spans="1:8" hidden="1">
      <c r="A102" s="20"/>
      <c r="B102" s="20"/>
      <c r="C102" s="20"/>
      <c r="D102" s="20"/>
      <c r="E102" s="20"/>
      <c r="F102" s="20"/>
      <c r="G102" s="20"/>
      <c r="H102" s="20"/>
    </row>
    <row r="103" spans="1:8" hidden="1">
      <c r="A103" s="64" t="s">
        <v>246</v>
      </c>
      <c r="B103" s="20"/>
      <c r="C103" s="20"/>
      <c r="D103" s="20"/>
      <c r="E103" s="20"/>
      <c r="F103" s="20"/>
      <c r="G103" s="20"/>
      <c r="H103" s="20"/>
    </row>
    <row r="104" spans="1:8" ht="45" hidden="1">
      <c r="A104" s="68"/>
      <c r="B104" s="69" t="s">
        <v>440</v>
      </c>
      <c r="C104" s="69" t="s">
        <v>441</v>
      </c>
      <c r="D104" s="20"/>
      <c r="E104" s="20"/>
      <c r="F104" s="20"/>
      <c r="G104" s="20"/>
      <c r="H104" s="20"/>
    </row>
    <row r="105" spans="1:8" hidden="1">
      <c r="A105" s="66" t="s">
        <v>136</v>
      </c>
      <c r="B105" s="68">
        <f>B93+B66</f>
        <v>0</v>
      </c>
      <c r="C105" s="68">
        <f>SUM(B79,C93)</f>
        <v>0</v>
      </c>
      <c r="D105" s="20"/>
      <c r="E105" s="20"/>
      <c r="F105" s="20"/>
      <c r="G105" s="20"/>
      <c r="H105" s="20"/>
    </row>
    <row r="106" spans="1:8" hidden="1">
      <c r="A106" s="66" t="s">
        <v>143</v>
      </c>
      <c r="B106" s="68">
        <f>C66+B94</f>
        <v>0</v>
      </c>
      <c r="C106" s="68">
        <f>SUM(C79,C94)</f>
        <v>0</v>
      </c>
      <c r="D106" s="20"/>
      <c r="E106" s="20"/>
      <c r="F106" s="20"/>
      <c r="G106" s="20"/>
      <c r="H106" s="20"/>
    </row>
    <row r="107" spans="1:8" hidden="1">
      <c r="A107" s="66" t="s">
        <v>138</v>
      </c>
      <c r="B107" s="68">
        <f>D66+B95</f>
        <v>0</v>
      </c>
      <c r="C107" s="68">
        <f>SUM(D79,C95)</f>
        <v>0</v>
      </c>
      <c r="D107" s="20"/>
      <c r="E107" s="20"/>
      <c r="F107" s="20"/>
      <c r="G107" s="20"/>
      <c r="H107" s="20"/>
    </row>
    <row r="108" spans="1:8" hidden="1">
      <c r="A108" s="67" t="s">
        <v>442</v>
      </c>
      <c r="B108" s="68">
        <f>E66+B96</f>
        <v>0</v>
      </c>
      <c r="C108" s="68">
        <f>E79+C96</f>
        <v>0</v>
      </c>
      <c r="D108" s="20"/>
      <c r="E108" s="20"/>
      <c r="F108" s="20"/>
      <c r="G108" s="20"/>
      <c r="H108" s="20"/>
    </row>
    <row r="109" spans="1:8" hidden="1">
      <c r="A109" s="66" t="s">
        <v>139</v>
      </c>
      <c r="B109" s="68">
        <f>F66+B97</f>
        <v>0</v>
      </c>
      <c r="C109" s="68">
        <f>SUM(F79,C97)</f>
        <v>0</v>
      </c>
      <c r="D109" s="20"/>
      <c r="E109" s="20"/>
      <c r="F109" s="20"/>
      <c r="G109" s="20"/>
      <c r="H109" s="20"/>
    </row>
    <row r="110" spans="1:8" hidden="1">
      <c r="A110" s="67" t="s">
        <v>250</v>
      </c>
      <c r="B110" s="68">
        <f>G66+B98</f>
        <v>0</v>
      </c>
      <c r="C110" s="68">
        <f>SUM(G79,C98)</f>
        <v>0</v>
      </c>
      <c r="D110" s="20"/>
      <c r="E110" s="20"/>
      <c r="F110" s="20"/>
    </row>
    <row r="111" spans="1:8" hidden="1">
      <c r="A111" s="67" t="s">
        <v>251</v>
      </c>
      <c r="B111" s="68">
        <f>H66+B99</f>
        <v>0</v>
      </c>
      <c r="C111" s="68">
        <f>SUM(H79,C99)</f>
        <v>0</v>
      </c>
      <c r="D111" s="20"/>
      <c r="E111" s="20"/>
      <c r="F111" s="20"/>
    </row>
    <row r="112" spans="1:8" hidden="1">
      <c r="A112" s="67" t="s">
        <v>1350</v>
      </c>
      <c r="B112" s="68">
        <f>I66+B100</f>
        <v>0</v>
      </c>
      <c r="C112" s="68">
        <f>SUM(I79,C100)</f>
        <v>0</v>
      </c>
      <c r="D112" s="20"/>
      <c r="E112" s="20"/>
      <c r="F112" s="20"/>
    </row>
    <row r="113" spans="1:8" hidden="1">
      <c r="A113" s="67" t="s">
        <v>1531</v>
      </c>
      <c r="B113" s="68">
        <f>B101</f>
        <v>0</v>
      </c>
      <c r="C113" s="68">
        <f>C101</f>
        <v>0</v>
      </c>
      <c r="D113" s="20"/>
      <c r="E113" s="20"/>
      <c r="F113" s="20"/>
    </row>
    <row r="114" spans="1:8" ht="15.75" hidden="1" thickBot="1">
      <c r="A114" s="20"/>
      <c r="B114" s="20"/>
      <c r="C114" s="20"/>
      <c r="D114" s="20"/>
      <c r="E114" s="20"/>
      <c r="F114" s="20"/>
    </row>
    <row r="115" spans="1:8" hidden="1">
      <c r="A115" s="64" t="s">
        <v>1356</v>
      </c>
      <c r="B115" s="20"/>
      <c r="C115" s="20"/>
      <c r="D115" s="262" t="s">
        <v>1532</v>
      </c>
      <c r="E115" s="20"/>
      <c r="F115" s="20"/>
    </row>
    <row r="116" spans="1:8" ht="30" hidden="1">
      <c r="A116" s="68"/>
      <c r="B116" s="69" t="s">
        <v>438</v>
      </c>
      <c r="C116" s="20"/>
      <c r="D116" s="263" t="s">
        <v>1400</v>
      </c>
      <c r="E116" s="20"/>
    </row>
    <row r="117" spans="1:8" ht="15.75" hidden="1" thickBot="1">
      <c r="A117" s="66" t="s">
        <v>136</v>
      </c>
      <c r="B117" s="68">
        <f>SUM(B57,B93)/38</f>
        <v>0</v>
      </c>
      <c r="C117" s="20"/>
      <c r="D117" s="264" t="s">
        <v>1398</v>
      </c>
      <c r="E117" s="20"/>
    </row>
    <row r="118" spans="1:8" hidden="1">
      <c r="A118" s="66" t="s">
        <v>143</v>
      </c>
      <c r="B118" s="68">
        <f>SUM(C57,B94)/38</f>
        <v>0</v>
      </c>
      <c r="C118" s="20"/>
      <c r="D118" s="20"/>
      <c r="E118" s="20"/>
    </row>
    <row r="119" spans="1:8" hidden="1">
      <c r="A119" s="66" t="s">
        <v>138</v>
      </c>
      <c r="B119" s="68">
        <f>SUM(D57,B95)/38</f>
        <v>0</v>
      </c>
      <c r="C119" s="20"/>
      <c r="D119" s="20"/>
      <c r="E119" s="20"/>
    </row>
    <row r="120" spans="1:8" hidden="1">
      <c r="A120" s="67" t="s">
        <v>442</v>
      </c>
      <c r="B120" s="68">
        <f>SUM(E57,B96)/38</f>
        <v>0</v>
      </c>
      <c r="C120" s="20"/>
      <c r="D120" s="20"/>
      <c r="E120" s="20"/>
    </row>
    <row r="121" spans="1:8" hidden="1">
      <c r="A121" s="66" t="s">
        <v>139</v>
      </c>
      <c r="B121" s="68">
        <f>SUM(F57,B97)/38</f>
        <v>0</v>
      </c>
      <c r="C121" s="20"/>
      <c r="D121" s="70"/>
      <c r="E121" s="70"/>
      <c r="F121" s="71"/>
      <c r="G121" s="71"/>
      <c r="H121" s="71"/>
    </row>
    <row r="122" spans="1:8" hidden="1">
      <c r="A122" s="67" t="s">
        <v>250</v>
      </c>
      <c r="B122" s="68">
        <f>SUM(G57,B98)/38</f>
        <v>0</v>
      </c>
      <c r="C122" s="20"/>
      <c r="D122" s="70"/>
      <c r="E122" s="70"/>
      <c r="F122" s="71"/>
      <c r="G122" s="71"/>
      <c r="H122" s="71"/>
    </row>
    <row r="123" spans="1:8" hidden="1">
      <c r="A123" s="67" t="s">
        <v>251</v>
      </c>
      <c r="B123" s="68">
        <f>SUM(H57,B99)/38</f>
        <v>0</v>
      </c>
      <c r="C123" s="20"/>
      <c r="D123" s="72"/>
      <c r="E123" s="72"/>
      <c r="F123" s="71"/>
      <c r="G123" s="71"/>
      <c r="H123" s="71"/>
    </row>
    <row r="124" spans="1:8" hidden="1">
      <c r="A124" s="67" t="s">
        <v>1350</v>
      </c>
      <c r="B124" s="68">
        <f>SUM(I57,B100)/38</f>
        <v>0</v>
      </c>
      <c r="C124" s="12"/>
      <c r="D124" s="12"/>
      <c r="E124" s="12"/>
      <c r="F124" s="71"/>
      <c r="G124" s="71"/>
      <c r="H124" s="71"/>
    </row>
    <row r="125" spans="1:8" hidden="1"/>
    <row r="126" spans="1:8" hidden="1">
      <c r="A126" s="10"/>
      <c r="B126" s="12"/>
      <c r="C126" s="12"/>
      <c r="D126" s="12"/>
      <c r="E126" s="71"/>
      <c r="F126" s="71"/>
    </row>
    <row r="127" spans="1:8">
      <c r="A127" s="10"/>
      <c r="B127" s="12"/>
      <c r="C127" s="12"/>
      <c r="D127" s="12"/>
      <c r="E127" s="71"/>
      <c r="F127" s="71"/>
    </row>
    <row r="128" spans="1:8">
      <c r="A128" s="10"/>
      <c r="B128" s="12"/>
      <c r="C128" s="12"/>
      <c r="D128" s="12"/>
      <c r="E128" s="71"/>
      <c r="F128" s="71"/>
    </row>
    <row r="129" spans="1:6">
      <c r="A129" s="10"/>
      <c r="B129" s="12"/>
      <c r="C129" s="12"/>
      <c r="D129" s="12"/>
      <c r="E129" s="71"/>
      <c r="F129" s="71"/>
    </row>
  </sheetData>
  <sheetProtection algorithmName="SHA-512" hashValue="Z+SNhO1CCtpX/kV9+vP59uNC9Vjw7XajmwIxe2xF9HuQyuxoG7L+wrUuPHkdTpnaf3a+pZB8+G16Xo+E4PLhTQ==" saltValue="IBcb2agKJpD3tq7kLYbNkw==" spinCount="100000" sheet="1" objects="1" scenarios="1"/>
  <mergeCells count="8">
    <mergeCell ref="F9:N9"/>
    <mergeCell ref="F21:M21"/>
    <mergeCell ref="A22:C22"/>
    <mergeCell ref="A91:C91"/>
    <mergeCell ref="A52:H52"/>
    <mergeCell ref="B55:J55"/>
    <mergeCell ref="B68:J68"/>
    <mergeCell ref="A10:C10"/>
  </mergeCells>
  <dataValidations count="1">
    <dataValidation type="list" allowBlank="1" showInputMessage="1" showErrorMessage="1" sqref="E19" xr:uid="{00000000-0002-0000-0700-000001000000}">
      <formula1>$D$116:$D$117</formula1>
    </dataValidation>
  </dataValidations>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7:XEX197"/>
  <sheetViews>
    <sheetView showGridLines="0" zoomScaleNormal="100" workbookViewId="0">
      <selection activeCell="E2" sqref="E2"/>
    </sheetView>
  </sheetViews>
  <sheetFormatPr defaultRowHeight="15"/>
  <cols>
    <col min="1" max="1" width="59.42578125" customWidth="1"/>
    <col min="2" max="2" width="22.28515625" bestFit="1" customWidth="1"/>
    <col min="3" max="3" width="16" customWidth="1"/>
    <col min="4" max="4" width="12.7109375" style="315" customWidth="1"/>
    <col min="5" max="5" width="13.85546875" bestFit="1" customWidth="1"/>
    <col min="6" max="6" width="8.5703125" customWidth="1"/>
    <col min="7" max="7" width="14.28515625" bestFit="1" customWidth="1"/>
    <col min="8" max="8" width="25.5703125" customWidth="1"/>
    <col min="9" max="9" width="14.28515625" bestFit="1" customWidth="1"/>
    <col min="10" max="10" width="13.7109375" customWidth="1"/>
    <col min="11" max="11" width="16.42578125" customWidth="1"/>
    <col min="12" max="12" width="12.42578125" customWidth="1"/>
    <col min="13" max="13" width="14.140625" customWidth="1"/>
    <col min="109" max="109" width="9.140625" customWidth="1"/>
  </cols>
  <sheetData>
    <row r="7" spans="1:55" ht="15.75" thickBot="1"/>
    <row r="8" spans="1:55" ht="15.75" thickBot="1">
      <c r="A8" s="597" t="s">
        <v>1710</v>
      </c>
      <c r="B8" s="598"/>
      <c r="C8" s="598"/>
      <c r="D8" s="706"/>
      <c r="E8" s="706"/>
      <c r="F8" s="948" t="s">
        <v>0</v>
      </c>
      <c r="H8" s="688" t="s">
        <v>1749</v>
      </c>
      <c r="I8" s="681"/>
      <c r="J8" s="681"/>
      <c r="K8" s="681"/>
      <c r="L8" s="681"/>
      <c r="M8" s="689"/>
    </row>
    <row r="9" spans="1:55" ht="30" customHeight="1">
      <c r="A9" s="1080" t="s">
        <v>1146</v>
      </c>
      <c r="B9" s="1081"/>
      <c r="C9" s="1081"/>
      <c r="D9" s="1081"/>
      <c r="E9" s="1081"/>
      <c r="F9" s="939"/>
      <c r="H9" s="954" t="s">
        <v>220</v>
      </c>
      <c r="I9" s="1082" t="s">
        <v>221</v>
      </c>
      <c r="J9" s="1082"/>
      <c r="K9" s="1082"/>
      <c r="L9" s="1082"/>
      <c r="M9" s="952" t="s">
        <v>0</v>
      </c>
      <c r="AL9" s="6"/>
      <c r="AM9" s="6"/>
      <c r="AN9" s="6"/>
      <c r="AO9" s="6"/>
      <c r="AP9" s="6"/>
      <c r="AQ9" s="50">
        <v>136</v>
      </c>
      <c r="AR9" s="50">
        <v>31</v>
      </c>
      <c r="AS9" s="50">
        <v>136</v>
      </c>
      <c r="AT9" s="50">
        <v>9</v>
      </c>
      <c r="AU9" s="51"/>
      <c r="AV9" s="51"/>
      <c r="AW9" s="51"/>
      <c r="AX9" s="6"/>
      <c r="AY9" s="6"/>
      <c r="AZ9" s="6"/>
      <c r="BA9" s="6"/>
    </row>
    <row r="10" spans="1:55" ht="25.5" customHeight="1">
      <c r="A10" s="606"/>
      <c r="B10" s="28"/>
      <c r="C10" s="28"/>
      <c r="D10" s="35"/>
      <c r="E10" s="28"/>
      <c r="F10" s="944"/>
      <c r="H10" s="964" t="s">
        <v>1777</v>
      </c>
      <c r="I10" s="1053" t="s">
        <v>1810</v>
      </c>
      <c r="J10" s="1053"/>
      <c r="K10" s="1053"/>
      <c r="L10" s="1053"/>
      <c r="M10" s="963" t="str">
        <f>F64</f>
        <v>N/A</v>
      </c>
      <c r="AL10" s="6"/>
      <c r="AM10" s="6"/>
      <c r="AN10" s="6"/>
      <c r="AO10" s="6"/>
      <c r="AP10" s="6"/>
      <c r="AQ10" s="50">
        <v>206.5</v>
      </c>
      <c r="AR10" s="50">
        <v>28</v>
      </c>
      <c r="AS10" s="50">
        <v>176.5</v>
      </c>
      <c r="AT10" s="50">
        <v>10.5</v>
      </c>
      <c r="AU10" s="51"/>
      <c r="AV10" s="51"/>
      <c r="AW10" s="51"/>
      <c r="AX10" s="6"/>
      <c r="AY10" s="6"/>
      <c r="AZ10" s="6"/>
      <c r="BA10" s="6"/>
    </row>
    <row r="11" spans="1:55" s="6" customFormat="1" ht="25.5" customHeight="1">
      <c r="A11" s="880"/>
      <c r="B11" s="655" t="s">
        <v>92</v>
      </c>
      <c r="C11" s="28"/>
      <c r="D11" s="35"/>
      <c r="E11" s="28"/>
      <c r="F11" s="944"/>
      <c r="G11"/>
      <c r="H11" s="964" t="s">
        <v>1778</v>
      </c>
      <c r="I11" s="1053" t="s">
        <v>1808</v>
      </c>
      <c r="J11" s="1053"/>
      <c r="K11" s="1053"/>
      <c r="L11" s="1053"/>
      <c r="M11" s="963" t="str">
        <f>F69</f>
        <v>N/A</v>
      </c>
      <c r="N11"/>
      <c r="O11"/>
      <c r="P11"/>
      <c r="Q11"/>
      <c r="R11"/>
      <c r="S11"/>
      <c r="T11"/>
      <c r="U11"/>
      <c r="V11"/>
      <c r="W11"/>
      <c r="X11"/>
      <c r="Y11"/>
      <c r="Z11"/>
      <c r="AQ11" s="50">
        <v>150</v>
      </c>
      <c r="AR11" s="50">
        <v>6.5</v>
      </c>
      <c r="AS11" s="50">
        <v>50.5</v>
      </c>
      <c r="AT11" s="50">
        <v>12</v>
      </c>
      <c r="AU11" s="51"/>
      <c r="AV11" s="51"/>
      <c r="AW11" s="51"/>
      <c r="BB11"/>
      <c r="BC11"/>
    </row>
    <row r="12" spans="1:55" s="6" customFormat="1" ht="30.75" customHeight="1" thickBot="1">
      <c r="A12" s="880"/>
      <c r="B12" s="655" t="s">
        <v>93</v>
      </c>
      <c r="C12" s="28"/>
      <c r="D12" s="35"/>
      <c r="E12" s="28"/>
      <c r="F12" s="944"/>
      <c r="G12"/>
      <c r="H12" s="965" t="s">
        <v>1779</v>
      </c>
      <c r="I12" s="1055" t="s">
        <v>1809</v>
      </c>
      <c r="J12" s="1055"/>
      <c r="K12" s="1055"/>
      <c r="L12" s="1055"/>
      <c r="M12" s="953">
        <f>F92</f>
        <v>5</v>
      </c>
      <c r="N12"/>
      <c r="O12"/>
      <c r="P12"/>
      <c r="Q12"/>
      <c r="R12"/>
      <c r="S12"/>
      <c r="T12"/>
      <c r="U12"/>
      <c r="V12"/>
      <c r="W12"/>
      <c r="X12"/>
      <c r="Y12"/>
      <c r="Z12"/>
      <c r="AQ12" s="52"/>
      <c r="AR12" s="52"/>
      <c r="AS12" s="52"/>
      <c r="AT12" s="52"/>
      <c r="AU12" s="52"/>
      <c r="AV12" s="52"/>
      <c r="AW12" s="52"/>
      <c r="BB12"/>
      <c r="BC12"/>
    </row>
    <row r="13" spans="1:55" s="6" customFormat="1" ht="15.75" thickBot="1">
      <c r="A13" s="881" t="s">
        <v>94</v>
      </c>
      <c r="B13" s="656">
        <v>6835.6</v>
      </c>
      <c r="C13" s="28"/>
      <c r="D13" s="35"/>
      <c r="E13" s="28"/>
      <c r="F13" s="944"/>
      <c r="G13"/>
      <c r="H13"/>
      <c r="I13"/>
      <c r="J13"/>
      <c r="K13" s="895"/>
      <c r="L13" s="896" t="s">
        <v>1673</v>
      </c>
      <c r="M13" s="626">
        <f>F93</f>
        <v>5</v>
      </c>
      <c r="N13"/>
      <c r="O13"/>
      <c r="V13"/>
      <c r="W13"/>
      <c r="X13"/>
      <c r="Y13"/>
      <c r="Z13"/>
      <c r="AQ13" s="52" t="str">
        <f>IF('Initial data collection sheet'!B32=0,"No data",'Fuel use input data'!B117/'Initial data collection sheet'!B32)</f>
        <v>No data</v>
      </c>
      <c r="AR13" s="52" t="str">
        <f>IF('Initial data collection sheet'!B32=0,"No data",('Fuel use input data'!D13*'Fuel use input data'!F13)/'Initial data collection sheet'!B32)</f>
        <v>No data</v>
      </c>
      <c r="AS13" s="52" t="str">
        <f>IF('Initial data collection sheet'!B32=0,"No data",('Fuel use input data'!D16*'Fuel use input data'!F16)/'Initial data collection sheet'!B32)</f>
        <v>No data</v>
      </c>
      <c r="AT13" s="52" t="str">
        <f>IF('Initial data collection sheet'!B32=0,"No data",('Fuel use input data'!D14*'Fuel use input data'!F14)/SUM('Initial data collection sheet'!G35:G40))</f>
        <v>No data</v>
      </c>
      <c r="AU13" s="52" t="str">
        <f>IF('Initial data collection sheet'!B32=0,"No data",'Fuel use input data'!C105/'Initial data collection sheet'!B32)</f>
        <v>No data</v>
      </c>
      <c r="AV13" s="52" t="str">
        <f>IF(SUM('Initial data collection sheet'!$I$35:$I$96)=0,"No data",'Fuel use input data'!B105/SUM('Initial data collection sheet'!$I$35:$I$96))</f>
        <v>No data</v>
      </c>
      <c r="AW13" s="52" t="str">
        <f>IF(SUM('Initial data collection sheet'!$I$35:$I$96)=0,"No data",'Fuel use input data'!C105/SUM('Initial data collection sheet'!$I$35:$I$96))</f>
        <v>No data</v>
      </c>
      <c r="BB13"/>
      <c r="BC13"/>
    </row>
    <row r="14" spans="1:55" s="6" customFormat="1">
      <c r="A14" s="881" t="s">
        <v>95</v>
      </c>
      <c r="B14" s="656">
        <v>9546.4</v>
      </c>
      <c r="C14" s="28"/>
      <c r="D14" s="35"/>
      <c r="E14" s="28"/>
      <c r="F14" s="944"/>
      <c r="G14"/>
      <c r="H14"/>
      <c r="I14"/>
      <c r="J14"/>
      <c r="K14"/>
      <c r="L14"/>
      <c r="M14"/>
      <c r="N14"/>
      <c r="O14"/>
      <c r="V14"/>
      <c r="W14"/>
      <c r="X14"/>
      <c r="Y14"/>
      <c r="Z14"/>
      <c r="AQ14" s="52"/>
      <c r="AR14" s="52"/>
      <c r="AS14" s="52"/>
      <c r="AT14" s="52"/>
      <c r="AU14" s="52"/>
      <c r="AV14" s="52"/>
      <c r="AW14" s="52"/>
      <c r="BB14"/>
      <c r="BC14"/>
    </row>
    <row r="15" spans="1:55" s="6" customFormat="1">
      <c r="A15" s="881" t="s">
        <v>96</v>
      </c>
      <c r="B15" s="656">
        <v>6128.8</v>
      </c>
      <c r="C15" s="28"/>
      <c r="D15" s="35"/>
      <c r="E15" s="28"/>
      <c r="F15" s="944"/>
      <c r="G15"/>
      <c r="H15"/>
      <c r="I15"/>
      <c r="J15"/>
      <c r="K15"/>
      <c r="L15"/>
      <c r="M15"/>
      <c r="N15"/>
      <c r="O15"/>
      <c r="V15"/>
      <c r="W15"/>
      <c r="X15"/>
      <c r="Y15"/>
      <c r="Z15"/>
      <c r="AQ15" s="52"/>
      <c r="AR15" s="52"/>
      <c r="AS15" s="52"/>
      <c r="AT15" s="52"/>
      <c r="AU15" s="52"/>
      <c r="AV15" s="52"/>
      <c r="AW15" s="52"/>
      <c r="BB15"/>
      <c r="BC15"/>
    </row>
    <row r="16" spans="1:55" s="6" customFormat="1">
      <c r="A16" s="881"/>
      <c r="B16" s="657"/>
      <c r="C16" s="28"/>
      <c r="D16" s="35"/>
      <c r="E16" s="28"/>
      <c r="F16" s="944"/>
      <c r="G16"/>
      <c r="H16"/>
      <c r="I16"/>
      <c r="J16"/>
      <c r="K16"/>
      <c r="L16"/>
      <c r="M16"/>
      <c r="N16"/>
      <c r="O16"/>
      <c r="V16"/>
      <c r="W16"/>
      <c r="X16"/>
      <c r="Y16"/>
      <c r="Z16"/>
      <c r="AQ16" s="52"/>
      <c r="AR16" s="52"/>
      <c r="AS16" s="52"/>
      <c r="AT16" s="52"/>
      <c r="AU16" s="52"/>
      <c r="AV16" s="52"/>
      <c r="AW16" s="52"/>
      <c r="BB16"/>
      <c r="BC16"/>
    </row>
    <row r="17" spans="1:55" s="6" customFormat="1">
      <c r="A17" s="883" t="s">
        <v>120</v>
      </c>
      <c r="B17" s="658" t="str">
        <f>IF('Initial data collection sheet'!B32=0,"No data",SUM('Fuel use input data'!B105,'Fuel use input data'!B108)/'Initial data collection sheet'!B238)</f>
        <v>No data</v>
      </c>
      <c r="C17" s="28"/>
      <c r="D17" s="675" t="str">
        <f>IF('Initial data collection sheet'!B238=0,"No arable",IF('Initial data collection sheet'!B238&lt;250,'Energy and carbon'!B17/'Energy and carbon'!B13,IF('Initial data collection sheet'!B238&lt;400,'Energy and carbon'!B17/'Energy and carbon'!B14,'Energy and carbon'!B17/'Energy and carbon'!B15)))</f>
        <v>No arable</v>
      </c>
      <c r="E17" s="28" t="s">
        <v>485</v>
      </c>
      <c r="F17" s="944" t="str">
        <f>IF(D17="no arable","N/A",IF(D17&gt;=125%,1,IF(AND(D17&gt;=0,D17&lt;0.49),5,IF(AND(D17&gt;=0.5,D17&lt;0.75),4,IF(AND(D17&gt;=0.75,D17&lt;1),3,IF(AND(D17&gt;=1,D17&lt;1.25),2))))))</f>
        <v>N/A</v>
      </c>
      <c r="G17" s="241"/>
      <c r="H17"/>
      <c r="I17"/>
      <c r="J17"/>
      <c r="K17"/>
      <c r="L17"/>
      <c r="M17"/>
      <c r="N17"/>
      <c r="O17"/>
      <c r="V17"/>
      <c r="W17"/>
      <c r="X17"/>
      <c r="Y17"/>
      <c r="Z17"/>
      <c r="AQ17" s="52"/>
      <c r="AR17" s="52"/>
      <c r="AS17" s="52"/>
      <c r="AT17" s="52"/>
      <c r="AU17" s="52"/>
      <c r="AV17" s="52"/>
      <c r="AW17" s="52"/>
      <c r="BB17"/>
      <c r="BC17"/>
    </row>
    <row r="18" spans="1:55" s="6" customFormat="1">
      <c r="A18" s="880"/>
      <c r="B18" s="657"/>
      <c r="C18" s="28"/>
      <c r="D18" s="35"/>
      <c r="E18" s="659"/>
      <c r="F18" s="944"/>
      <c r="G18"/>
      <c r="H18"/>
      <c r="I18"/>
      <c r="J18"/>
      <c r="K18"/>
      <c r="L18"/>
      <c r="M18"/>
      <c r="N18"/>
      <c r="O18"/>
      <c r="V18"/>
      <c r="W18"/>
      <c r="X18"/>
      <c r="Y18"/>
      <c r="Z18"/>
      <c r="AQ18" s="51" t="s">
        <v>90</v>
      </c>
      <c r="AR18" s="51" t="s">
        <v>98</v>
      </c>
      <c r="AS18" s="51" t="s">
        <v>99</v>
      </c>
      <c r="AT18" s="51" t="s">
        <v>84</v>
      </c>
      <c r="AU18" s="51"/>
      <c r="AV18" s="51"/>
      <c r="AW18" s="51"/>
      <c r="BB18"/>
      <c r="BC18"/>
    </row>
    <row r="19" spans="1:55" s="6" customFormat="1">
      <c r="A19" s="882" t="s">
        <v>116</v>
      </c>
      <c r="B19" s="657"/>
      <c r="C19" s="28"/>
      <c r="D19" s="35"/>
      <c r="E19" s="659"/>
      <c r="F19" s="944"/>
      <c r="G19"/>
      <c r="H19"/>
      <c r="I19"/>
      <c r="J19"/>
      <c r="K19"/>
      <c r="L19"/>
      <c r="M19"/>
      <c r="N19"/>
      <c r="O19"/>
      <c r="V19"/>
      <c r="W19"/>
      <c r="X19"/>
      <c r="Y19"/>
      <c r="Z19"/>
      <c r="AQ19" s="51" t="s">
        <v>100</v>
      </c>
      <c r="AR19" s="51" t="s">
        <v>100</v>
      </c>
      <c r="AS19" s="51" t="s">
        <v>100</v>
      </c>
      <c r="AT19" s="51" t="s">
        <v>101</v>
      </c>
      <c r="AU19" s="51" t="s">
        <v>146</v>
      </c>
      <c r="AV19" s="51" t="s">
        <v>144</v>
      </c>
      <c r="AW19" s="51" t="s">
        <v>149</v>
      </c>
      <c r="BB19"/>
      <c r="BC19"/>
    </row>
    <row r="20" spans="1:55" s="6" customFormat="1">
      <c r="A20" s="882"/>
      <c r="B20" s="657"/>
      <c r="C20" s="28"/>
      <c r="D20" s="35"/>
      <c r="E20" s="659"/>
      <c r="F20" s="944"/>
      <c r="G20"/>
      <c r="H20"/>
      <c r="I20"/>
      <c r="J20"/>
      <c r="K20"/>
      <c r="L20"/>
      <c r="M20"/>
      <c r="N20"/>
      <c r="O20"/>
      <c r="P20"/>
      <c r="Q20"/>
      <c r="R20"/>
      <c r="S20"/>
      <c r="T20"/>
      <c r="U20"/>
      <c r="V20"/>
      <c r="W20"/>
      <c r="X20"/>
      <c r="Y20"/>
      <c r="Z20"/>
      <c r="AQ20" s="50">
        <v>11.190000000000001</v>
      </c>
      <c r="AR20" s="50">
        <v>3.2649999999999997</v>
      </c>
      <c r="AS20" s="50">
        <v>2.9550000000000001</v>
      </c>
      <c r="AT20" s="50">
        <v>49.35</v>
      </c>
      <c r="AU20" s="50"/>
      <c r="AV20" s="51"/>
      <c r="AW20" s="51"/>
      <c r="BB20"/>
      <c r="BC20"/>
    </row>
    <row r="21" spans="1:55" s="6" customFormat="1">
      <c r="A21" s="880"/>
      <c r="B21" s="657"/>
      <c r="C21" s="28"/>
      <c r="D21" s="35"/>
      <c r="E21" s="659"/>
      <c r="F21" s="944"/>
      <c r="G21"/>
      <c r="H21"/>
      <c r="I21"/>
      <c r="J21"/>
      <c r="K21"/>
      <c r="L21"/>
      <c r="M21"/>
      <c r="N21"/>
      <c r="O21"/>
      <c r="P21"/>
      <c r="Q21"/>
      <c r="R21"/>
      <c r="S21"/>
      <c r="T21"/>
      <c r="U21"/>
      <c r="V21"/>
      <c r="W21"/>
      <c r="X21"/>
      <c r="Y21"/>
      <c r="Z21"/>
      <c r="AQ21" s="52"/>
      <c r="AR21" s="52"/>
      <c r="AS21" s="52"/>
      <c r="AT21" s="52"/>
      <c r="AU21" s="52"/>
      <c r="AV21" s="52"/>
      <c r="AW21" s="52"/>
      <c r="BB21"/>
      <c r="BC21"/>
    </row>
    <row r="22" spans="1:55" s="6" customFormat="1">
      <c r="A22" s="881"/>
      <c r="B22" s="660" t="s">
        <v>92</v>
      </c>
      <c r="C22" s="28"/>
      <c r="D22" s="35"/>
      <c r="E22" s="659"/>
      <c r="F22" s="944"/>
      <c r="G22"/>
      <c r="H22"/>
      <c r="I22"/>
      <c r="J22"/>
      <c r="K22"/>
      <c r="L22"/>
      <c r="M22"/>
      <c r="N22"/>
      <c r="O22"/>
      <c r="P22"/>
      <c r="Q22"/>
      <c r="R22"/>
      <c r="S22"/>
      <c r="T22"/>
      <c r="U22"/>
      <c r="V22"/>
      <c r="W22"/>
      <c r="X22"/>
      <c r="Y22"/>
      <c r="Z22"/>
      <c r="AQ22" s="52" t="str">
        <f>IF('Initial data collection sheet'!B120+'Initial data collection sheet'!B126=0,"No data",('Fuel use input data'!B118/SUM('Initial data collection sheet'!B126/4,'Initial data collection sheet'!B120+'Initial data collection sheet'!B123+'Initial data collection sheet'!B124)))</f>
        <v>No data</v>
      </c>
      <c r="AR22" s="52" t="str">
        <f>IF('Initial data collection sheet'!B120+'Initial data collection sheet'!B126=0,"No data",('Fuel use input data'!D12*'Fuel use input data'!G12)/SUM('Initial data collection sheet'!B126/4,'Initial data collection sheet'!B120,'Initial data collection sheet'!B123,'Initial data collection sheet'!B124))</f>
        <v>No data</v>
      </c>
      <c r="AS22" s="52" t="str">
        <f>IF('Initial data collection sheet'!B120+'Initial data collection sheet'!B126=0,"No data",('Fuel use input data'!D13*'Fuel use input data'!G13)/SUM('Initial data collection sheet'!B126/4,'Initial data collection sheet'!B120,'Initial data collection sheet'!B123,'Initial data collection sheet'!B124))</f>
        <v>No data</v>
      </c>
      <c r="AT22" s="52" t="str">
        <f>IF('Initial data collection sheet'!B120+'Initial data collection sheet'!B126=0,"No data",('Fuel use input data'!D16*'Fuel use input data'!G16)/SUM('Initial data collection sheet'!B126/4,'Initial data collection sheet'!B120,'Initial data collection sheet'!B123,'Initial data collection sheet'!B124))</f>
        <v>No data</v>
      </c>
      <c r="AU22" s="52" t="str">
        <f>IF(AQ22="No data","No data",'Fuel use input data'!C106/SUM('Initial data collection sheet'!B126/4,'Initial data collection sheet'!B120,'Initial data collection sheet'!B123,'Initial data collection sheet'!B124))</f>
        <v>No data</v>
      </c>
      <c r="AV22" s="52" t="str">
        <f>IF(AQ22="No data","No data",'Fuel use input data'!B106/SUM('Initial data collection sheet'!AI120:AI129,'Initial data collection sheet'!I149))</f>
        <v>No data</v>
      </c>
      <c r="AW22" s="52" t="str">
        <f>IF(AQ22="No data","No data",'Fuel use input data'!C106/SUM('Initial data collection sheet'!AI120:AI129,'Initial data collection sheet'!I149))</f>
        <v>No data</v>
      </c>
      <c r="BB22"/>
      <c r="BC22"/>
    </row>
    <row r="23" spans="1:55" s="6" customFormat="1">
      <c r="A23" s="881"/>
      <c r="B23" s="660" t="s">
        <v>102</v>
      </c>
      <c r="C23" s="28"/>
      <c r="D23" s="35"/>
      <c r="E23" s="659"/>
      <c r="F23" s="944"/>
      <c r="G23"/>
      <c r="H23"/>
      <c r="I23"/>
      <c r="J23"/>
      <c r="K23"/>
      <c r="L23"/>
      <c r="M23"/>
      <c r="N23"/>
      <c r="O23"/>
      <c r="P23"/>
      <c r="Q23"/>
      <c r="R23"/>
      <c r="S23"/>
      <c r="T23"/>
      <c r="U23"/>
      <c r="V23"/>
      <c r="W23"/>
      <c r="X23"/>
      <c r="Y23"/>
      <c r="Z23"/>
      <c r="AU23" s="52"/>
      <c r="AV23" s="52"/>
      <c r="AW23" s="52"/>
      <c r="BB23"/>
      <c r="BC23"/>
    </row>
    <row r="24" spans="1:55" s="6" customFormat="1">
      <c r="A24" s="881" t="s">
        <v>103</v>
      </c>
      <c r="B24" s="656">
        <v>546</v>
      </c>
      <c r="C24" s="28"/>
      <c r="D24" s="35"/>
      <c r="E24" s="659"/>
      <c r="F24" s="944"/>
      <c r="G24"/>
      <c r="H24"/>
      <c r="I24"/>
      <c r="J24"/>
      <c r="K24"/>
      <c r="L24"/>
      <c r="M24"/>
      <c r="N24"/>
      <c r="O24"/>
      <c r="P24"/>
      <c r="Q24"/>
      <c r="R24"/>
      <c r="S24"/>
      <c r="T24"/>
      <c r="U24"/>
      <c r="V24"/>
      <c r="W24"/>
      <c r="X24"/>
      <c r="Y24"/>
      <c r="Z24"/>
      <c r="AU24" s="52"/>
      <c r="AV24" s="52"/>
      <c r="AW24" s="52"/>
      <c r="BB24"/>
      <c r="BC24"/>
    </row>
    <row r="25" spans="1:55" s="6" customFormat="1">
      <c r="A25" s="881"/>
      <c r="B25" s="657"/>
      <c r="C25" s="28"/>
      <c r="D25" s="35"/>
      <c r="E25" s="659"/>
      <c r="F25" s="944"/>
      <c r="G25"/>
      <c r="H25"/>
      <c r="I25"/>
      <c r="J25"/>
      <c r="K25"/>
      <c r="L25"/>
      <c r="M25"/>
      <c r="N25"/>
      <c r="O25"/>
      <c r="P25"/>
      <c r="Q25"/>
      <c r="R25"/>
      <c r="S25"/>
      <c r="T25"/>
      <c r="U25"/>
      <c r="V25"/>
      <c r="W25"/>
      <c r="X25"/>
      <c r="Y25"/>
      <c r="Z25"/>
      <c r="AU25" s="52"/>
      <c r="AV25" s="52"/>
      <c r="AW25" s="52"/>
      <c r="BB25"/>
      <c r="BC25"/>
    </row>
    <row r="26" spans="1:55" s="6" customFormat="1" ht="30">
      <c r="A26" s="883" t="s">
        <v>120</v>
      </c>
      <c r="B26" s="658" t="str">
        <f>IF(SUM('Initial data collection sheet'!B120:B129)=0,"No data",'Fuel use input data'!B106/SUM('Initial data collection sheet'!B126/4,'Initial data collection sheet'!B129/4,'Initial data collection sheet'!B120,'Initial data collection sheet'!B123:B125))</f>
        <v>No data</v>
      </c>
      <c r="C26" s="28" t="s">
        <v>562</v>
      </c>
      <c r="D26" s="893" t="str">
        <f>IF(SUM('Initial data collection sheet'!B120:B129)=0,"No beef or sheep",B26/B24)</f>
        <v>No beef or sheep</v>
      </c>
      <c r="E26" s="28" t="s">
        <v>485</v>
      </c>
      <c r="F26" s="944" t="str">
        <f>IF(D26="no beef or sheep","N/A",IF(D26&gt;=125%,1,IF(AND(D26&gt;=0,D26&lt;0.49),5,IF(AND(D26&gt;=0.5,D26&lt;0.75),4,IF(AND(D26&gt;=0.75,D26&lt;1),3,IF(AND(D26&gt;=1,D26&lt;1.25),2))))))</f>
        <v>N/A</v>
      </c>
      <c r="G26"/>
      <c r="H26"/>
      <c r="I26"/>
      <c r="J26"/>
      <c r="K26"/>
      <c r="L26"/>
      <c r="M26"/>
      <c r="N26"/>
      <c r="O26"/>
      <c r="P26"/>
      <c r="Q26"/>
      <c r="R26"/>
      <c r="S26"/>
      <c r="T26"/>
      <c r="U26"/>
      <c r="V26"/>
      <c r="W26"/>
      <c r="X26"/>
      <c r="Y26"/>
      <c r="Z26"/>
      <c r="AU26" s="52"/>
      <c r="AV26" s="52"/>
      <c r="AW26" s="52"/>
      <c r="BB26"/>
      <c r="BC26"/>
    </row>
    <row r="27" spans="1:55" s="6" customFormat="1">
      <c r="A27" s="880"/>
      <c r="B27" s="658"/>
      <c r="C27" s="28"/>
      <c r="D27" s="35"/>
      <c r="E27" s="28"/>
      <c r="F27" s="944"/>
      <c r="G27"/>
      <c r="H27"/>
      <c r="I27"/>
      <c r="J27"/>
      <c r="K27"/>
      <c r="L27"/>
      <c r="M27"/>
      <c r="N27"/>
      <c r="O27"/>
      <c r="AQ27" s="51" t="s">
        <v>100</v>
      </c>
      <c r="AR27" s="51" t="s">
        <v>100</v>
      </c>
      <c r="AS27" s="51" t="s">
        <v>101</v>
      </c>
      <c r="AT27" s="51" t="s">
        <v>146</v>
      </c>
      <c r="AU27" s="50"/>
      <c r="AV27" s="51" t="s">
        <v>590</v>
      </c>
      <c r="AW27" s="51" t="s">
        <v>148</v>
      </c>
      <c r="BB27"/>
      <c r="BC27"/>
    </row>
    <row r="28" spans="1:55" s="6" customFormat="1">
      <c r="A28" s="882" t="s">
        <v>117</v>
      </c>
      <c r="B28" s="658"/>
      <c r="C28" s="28"/>
      <c r="D28" s="35"/>
      <c r="E28" s="28"/>
      <c r="F28" s="944"/>
      <c r="G28"/>
      <c r="H28"/>
      <c r="I28"/>
      <c r="J28"/>
      <c r="K28"/>
      <c r="L28"/>
      <c r="M28"/>
      <c r="N28"/>
      <c r="O28"/>
      <c r="AQ28" s="50">
        <v>74</v>
      </c>
      <c r="AR28" s="50">
        <v>0</v>
      </c>
      <c r="AS28" s="50">
        <v>387</v>
      </c>
      <c r="AT28" s="50"/>
      <c r="AU28" s="50"/>
      <c r="AV28" s="51"/>
      <c r="AW28" s="51"/>
      <c r="BB28"/>
      <c r="BC28"/>
    </row>
    <row r="29" spans="1:55" s="6" customFormat="1">
      <c r="A29" s="880"/>
      <c r="B29" s="658"/>
      <c r="C29" s="28"/>
      <c r="D29" s="35"/>
      <c r="E29" s="28"/>
      <c r="F29" s="944"/>
      <c r="G29"/>
      <c r="H29"/>
      <c r="I29"/>
      <c r="J29"/>
      <c r="K29"/>
      <c r="L29"/>
      <c r="M29"/>
      <c r="N29"/>
      <c r="O29"/>
      <c r="AQ29" s="50">
        <v>67</v>
      </c>
      <c r="AR29" s="50">
        <v>0</v>
      </c>
      <c r="AS29" s="50">
        <v>326.5</v>
      </c>
      <c r="AT29" s="50"/>
      <c r="AU29" s="50"/>
      <c r="AV29" s="51"/>
      <c r="AW29" s="51"/>
      <c r="BB29"/>
      <c r="BC29"/>
    </row>
    <row r="30" spans="1:55" s="6" customFormat="1">
      <c r="A30" s="881"/>
      <c r="B30" s="660" t="s">
        <v>92</v>
      </c>
      <c r="C30" s="28"/>
      <c r="D30" s="35"/>
      <c r="E30" s="28"/>
      <c r="F30" s="944"/>
      <c r="G30"/>
      <c r="H30"/>
      <c r="I30"/>
      <c r="J30"/>
      <c r="K30"/>
      <c r="L30"/>
      <c r="M30"/>
      <c r="N30"/>
      <c r="O30"/>
      <c r="AQ30" s="50">
        <v>62.5</v>
      </c>
      <c r="AR30" s="50">
        <v>0</v>
      </c>
      <c r="AS30" s="50">
        <v>312</v>
      </c>
      <c r="AT30" s="50"/>
      <c r="AU30" s="50"/>
      <c r="AV30" s="51"/>
      <c r="AW30" s="51"/>
      <c r="BB30"/>
      <c r="BC30"/>
    </row>
    <row r="31" spans="1:55" s="6" customFormat="1">
      <c r="A31" s="881"/>
      <c r="B31" s="660" t="s">
        <v>102</v>
      </c>
      <c r="C31" s="28"/>
      <c r="D31" s="35"/>
      <c r="E31" s="28"/>
      <c r="F31" s="944"/>
      <c r="G31"/>
      <c r="H31"/>
      <c r="I31"/>
      <c r="J31"/>
      <c r="K31"/>
      <c r="L31"/>
      <c r="M31"/>
      <c r="N31"/>
      <c r="O31"/>
      <c r="AQ31" s="52"/>
      <c r="AR31" s="52"/>
      <c r="AS31" s="52"/>
      <c r="AT31" s="52"/>
      <c r="AU31" s="52"/>
      <c r="AV31" s="52"/>
      <c r="AW31" s="52"/>
      <c r="BB31"/>
      <c r="BC31"/>
    </row>
    <row r="32" spans="1:55" s="6" customFormat="1">
      <c r="A32" s="881" t="s">
        <v>104</v>
      </c>
      <c r="B32" s="656">
        <v>4205.2</v>
      </c>
      <c r="C32" s="28"/>
      <c r="D32" s="35"/>
      <c r="E32" s="28"/>
      <c r="F32" s="944"/>
      <c r="G32"/>
      <c r="H32"/>
      <c r="I32"/>
      <c r="J32"/>
      <c r="K32"/>
      <c r="L32"/>
      <c r="M32"/>
      <c r="N32"/>
      <c r="O32"/>
      <c r="AQ32" s="52" t="str">
        <f>IF('Initial data collection sheet'!B113=0,"No data",'Fuel use input data'!B119/SUM('Initial data collection sheet'!B113:B114))</f>
        <v>No data</v>
      </c>
      <c r="AR32" s="52" t="str">
        <f>IF('Initial data collection sheet'!B113=0,"No data",('Fuel use input data'!D13*'Fuel use input data'!H13)/SUM('Initial data collection sheet'!B113:B114))</f>
        <v>No data</v>
      </c>
      <c r="AS32" s="52" t="str">
        <f>IF('Initial data collection sheet'!B113=0,"No data",('Fuel use input data'!D16*'Fuel use input data'!H16)/SUM('Initial data collection sheet'!B113:B114))</f>
        <v>No data</v>
      </c>
      <c r="AT32" s="52" t="str">
        <f>IF('Initial data collection sheet'!B113=0,"No data",'Fuel use input data'!C107/SUM('Initial data collection sheet'!B113:B114))</f>
        <v>No data</v>
      </c>
      <c r="AU32" s="52"/>
      <c r="AV32" s="52" t="str">
        <f>IF('Initial data collection sheet'!B113=0,"No data",'Fuel use input data'!B107/('Initial data collection sheet'!I148))</f>
        <v>No data</v>
      </c>
      <c r="AW32" s="52" t="str">
        <f>IF('Initial data collection sheet'!B113=0,"No data",'Fuel use input data'!C107/('Initial data collection sheet'!I148))</f>
        <v>No data</v>
      </c>
      <c r="BB32"/>
      <c r="BC32"/>
    </row>
    <row r="33" spans="1:55" s="6" customFormat="1">
      <c r="A33" s="881" t="s">
        <v>105</v>
      </c>
      <c r="B33" s="656">
        <v>3721.4</v>
      </c>
      <c r="C33" s="28"/>
      <c r="D33" s="35"/>
      <c r="E33" s="28"/>
      <c r="F33" s="944"/>
      <c r="G33"/>
      <c r="H33"/>
      <c r="I33"/>
      <c r="J33"/>
      <c r="K33"/>
      <c r="L33"/>
      <c r="M33"/>
      <c r="N33"/>
      <c r="O33"/>
      <c r="AQ33" s="52"/>
      <c r="AR33" s="52"/>
      <c r="AS33" s="52"/>
      <c r="AT33" s="52"/>
      <c r="AU33" s="52"/>
      <c r="AV33" s="52"/>
      <c r="AW33" s="52"/>
      <c r="BB33"/>
      <c r="BC33"/>
    </row>
    <row r="34" spans="1:55" s="6" customFormat="1">
      <c r="A34" s="881" t="s">
        <v>106</v>
      </c>
      <c r="B34" s="656">
        <v>3498.2</v>
      </c>
      <c r="C34" s="28"/>
      <c r="D34" s="35"/>
      <c r="E34" s="28"/>
      <c r="F34" s="944"/>
      <c r="G34"/>
      <c r="H34"/>
      <c r="J34"/>
      <c r="K34"/>
      <c r="L34"/>
      <c r="M34"/>
      <c r="N34"/>
      <c r="O34"/>
      <c r="AQ34" s="52"/>
      <c r="AR34" s="52"/>
      <c r="AS34" s="52"/>
      <c r="AT34" s="52"/>
      <c r="AU34" s="52"/>
      <c r="AV34" s="52"/>
      <c r="AW34" s="52"/>
      <c r="BB34"/>
      <c r="BC34"/>
    </row>
    <row r="35" spans="1:55" s="6" customFormat="1">
      <c r="A35" s="880"/>
      <c r="B35" s="657"/>
      <c r="C35" s="28"/>
      <c r="D35" s="35"/>
      <c r="E35" s="28"/>
      <c r="F35" s="944"/>
      <c r="G35"/>
      <c r="H35"/>
      <c r="I35"/>
      <c r="J35"/>
      <c r="K35"/>
      <c r="L35"/>
      <c r="M35"/>
      <c r="N35"/>
      <c r="O35"/>
      <c r="AQ35" s="52"/>
      <c r="AR35" s="52"/>
      <c r="AS35" s="52"/>
      <c r="AT35" s="52"/>
      <c r="AU35" s="52"/>
      <c r="AV35" s="52"/>
      <c r="AW35" s="52"/>
      <c r="BB35"/>
      <c r="BC35"/>
    </row>
    <row r="36" spans="1:55" s="6" customFormat="1">
      <c r="A36" s="883" t="s">
        <v>120</v>
      </c>
      <c r="B36" s="658" t="str">
        <f>IF(SUM('Initial data collection sheet'!B113:B114)=0,"No data",'Fuel use input data'!B107/SUM('Initial data collection sheet'!B113:B114))</f>
        <v>No data</v>
      </c>
      <c r="C36" s="28"/>
      <c r="D36" s="893" t="str">
        <f>IF(SUM('Initial data collection sheet'!B113:B115)=0,"No dairy",IF(SUM('Initial data collection sheet'!B113:B115)&lt;88,B36/'Energy and carbon'!B32,IF(SUM('Initial data collection sheet'!B113:B115)&lt;140,B36/'Energy and carbon'!B33,IF(SUM('Initial data collection sheet'!B113:B115)&gt;140,B36/'Energy and carbon'!B34,"no dairy"))))</f>
        <v>No dairy</v>
      </c>
      <c r="E36" s="28" t="s">
        <v>485</v>
      </c>
      <c r="F36" s="944" t="str">
        <f>IF(D36="no dairy","N/A",IF(D36&gt;=125%,1,IF(AND(D36&gt;=0,D36&lt;0.49),5,IF(AND(D36&gt;=0.5,D36&lt;0.75),4,IF(AND(D36&gt;=0.75,D36&lt;1),3,IF(AND(D36&gt;=1,D36&lt;1.25),2))))))</f>
        <v>N/A</v>
      </c>
      <c r="G36"/>
      <c r="H36"/>
      <c r="I36"/>
      <c r="J36"/>
      <c r="K36"/>
      <c r="L36"/>
      <c r="M36"/>
      <c r="N36"/>
      <c r="O36"/>
      <c r="AQ36" s="52"/>
      <c r="AR36" s="52"/>
      <c r="AS36" s="52"/>
      <c r="AT36" s="52"/>
      <c r="AU36" s="52"/>
      <c r="AV36" s="52"/>
      <c r="AW36" s="52"/>
      <c r="BB36"/>
      <c r="BC36"/>
    </row>
    <row r="37" spans="1:55" s="6" customFormat="1">
      <c r="A37" s="883"/>
      <c r="B37" s="894"/>
      <c r="C37" s="892"/>
      <c r="D37" s="894"/>
      <c r="E37" s="892"/>
      <c r="F37" s="944"/>
      <c r="G37"/>
      <c r="H37"/>
      <c r="I37"/>
      <c r="J37"/>
      <c r="K37"/>
      <c r="L37"/>
      <c r="M37"/>
      <c r="N37"/>
      <c r="O37"/>
      <c r="AQ37" s="51" t="s">
        <v>100</v>
      </c>
      <c r="AR37" s="51" t="s">
        <v>100</v>
      </c>
      <c r="AS37" s="51" t="s">
        <v>101</v>
      </c>
      <c r="AT37" s="51" t="s">
        <v>146</v>
      </c>
      <c r="AU37" s="50"/>
      <c r="AV37" s="51" t="s">
        <v>144</v>
      </c>
      <c r="AW37" s="51" t="s">
        <v>149</v>
      </c>
      <c r="BB37"/>
      <c r="BC37"/>
    </row>
    <row r="38" spans="1:55" s="6" customFormat="1">
      <c r="A38" s="882" t="s">
        <v>118</v>
      </c>
      <c r="B38" s="657"/>
      <c r="C38" s="28"/>
      <c r="D38" s="35"/>
      <c r="E38" s="28"/>
      <c r="F38" s="944"/>
      <c r="G38"/>
      <c r="H38"/>
      <c r="I38"/>
      <c r="J38"/>
      <c r="K38"/>
      <c r="L38"/>
      <c r="M38"/>
      <c r="N38"/>
      <c r="O38"/>
      <c r="AQ38" s="50">
        <v>0</v>
      </c>
      <c r="AR38" s="50">
        <v>0</v>
      </c>
      <c r="AS38" s="50">
        <v>360.5</v>
      </c>
      <c r="AT38" s="50"/>
      <c r="AU38" s="50"/>
      <c r="AV38" s="51"/>
      <c r="AW38" s="51"/>
      <c r="BB38"/>
      <c r="BC38"/>
    </row>
    <row r="39" spans="1:55" s="6" customFormat="1">
      <c r="A39" s="880"/>
      <c r="B39" s="657"/>
      <c r="C39" s="28"/>
      <c r="D39" s="35"/>
      <c r="E39" s="28"/>
      <c r="F39" s="944"/>
      <c r="G39"/>
      <c r="H39"/>
      <c r="I39"/>
      <c r="J39"/>
      <c r="K39"/>
      <c r="L39"/>
      <c r="M39"/>
      <c r="N39"/>
      <c r="O39"/>
      <c r="AQ39" s="50">
        <v>0</v>
      </c>
      <c r="AR39" s="50">
        <v>0</v>
      </c>
      <c r="AS39" s="50">
        <v>65</v>
      </c>
      <c r="AT39" s="50"/>
      <c r="AU39" s="50"/>
      <c r="AV39" s="51"/>
      <c r="AW39" s="51"/>
      <c r="BB39"/>
      <c r="BC39"/>
    </row>
    <row r="40" spans="1:55" s="6" customFormat="1">
      <c r="A40" s="883"/>
      <c r="B40" s="660" t="s">
        <v>92</v>
      </c>
      <c r="C40" s="28"/>
      <c r="D40" s="35"/>
      <c r="E40" s="28"/>
      <c r="F40" s="944"/>
      <c r="G40"/>
      <c r="H40"/>
      <c r="I40"/>
      <c r="J40"/>
      <c r="K40"/>
      <c r="L40"/>
      <c r="M40"/>
      <c r="N40"/>
      <c r="O40"/>
      <c r="AQ40" s="50">
        <v>0</v>
      </c>
      <c r="AR40" s="50">
        <v>0</v>
      </c>
      <c r="AS40" s="50">
        <v>66.5</v>
      </c>
      <c r="AT40" s="50"/>
      <c r="AU40" s="50"/>
      <c r="AV40" s="51"/>
      <c r="AW40" s="51"/>
      <c r="BB40"/>
      <c r="BC40"/>
    </row>
    <row r="41" spans="1:55" s="6" customFormat="1">
      <c r="A41" s="883"/>
      <c r="B41" s="660" t="s">
        <v>102</v>
      </c>
      <c r="C41" s="28"/>
      <c r="D41" s="35"/>
      <c r="E41" s="28"/>
      <c r="F41" s="944"/>
      <c r="G41"/>
      <c r="H41"/>
      <c r="I41"/>
      <c r="J41"/>
      <c r="K41"/>
      <c r="L41"/>
      <c r="M41"/>
      <c r="N41"/>
      <c r="O41"/>
      <c r="AQ41" s="52"/>
      <c r="AR41" s="52"/>
      <c r="AS41" s="52"/>
      <c r="AT41" s="52"/>
      <c r="AU41" s="52"/>
      <c r="AV41" s="52"/>
      <c r="AW41" s="52"/>
      <c r="BB41"/>
      <c r="BC41"/>
    </row>
    <row r="42" spans="1:55" s="6" customFormat="1">
      <c r="A42" s="881" t="s">
        <v>107</v>
      </c>
      <c r="B42" s="656">
        <v>1297.8</v>
      </c>
      <c r="C42" s="28"/>
      <c r="D42" s="35"/>
      <c r="E42" s="28"/>
      <c r="F42" s="944"/>
      <c r="G42"/>
      <c r="H42"/>
      <c r="I42"/>
      <c r="J42"/>
      <c r="K42"/>
      <c r="L42"/>
      <c r="M42"/>
      <c r="N42"/>
      <c r="O42"/>
      <c r="AQ42" s="52" t="str">
        <f>IF('Initial data collection sheet'!B130=0,"No data",('Fuel use input data'!B121/SUM('Initial data collection sheet'!B130:B136)))</f>
        <v>No data</v>
      </c>
      <c r="AR42" s="52" t="str">
        <f>IF('Initial data collection sheet'!B130=0,"No data",('Fuel use input data'!D13*'Fuel use input data'!J13)/SUM('Initial data collection sheet'!B130:B136))</f>
        <v>No data</v>
      </c>
      <c r="AS42" s="52" t="str">
        <f>IF('Initial data collection sheet'!B130=0,"No data",('Fuel use input data'!D16*'Fuel use input data'!J16)/SUM('Initial data collection sheet'!B130:B136))</f>
        <v>No data</v>
      </c>
      <c r="AT42" s="52" t="str">
        <f>IF('Initial data collection sheet'!B130=0,"No data",'Fuel use input data'!C109/SUM('Initial data collection sheet'!B130:B136))</f>
        <v>No data</v>
      </c>
      <c r="AU42" s="52"/>
      <c r="AV42" s="52" t="str">
        <f>IF('Initial data collection sheet'!B130=0,"No data",'Fuel use input data'!B109/SUM('Initial data collection sheet'!AI130:AI136))</f>
        <v>No data</v>
      </c>
      <c r="AW42" s="52" t="str">
        <f>IF('Initial data collection sheet'!B130=0,"No data",'Fuel use input data'!C109/SUM('Initial data collection sheet'!AI130:AI136))</f>
        <v>No data</v>
      </c>
      <c r="BB42"/>
      <c r="BC42"/>
    </row>
    <row r="43" spans="1:55" s="6" customFormat="1">
      <c r="A43" s="881" t="s">
        <v>108</v>
      </c>
      <c r="B43" s="656">
        <v>234</v>
      </c>
      <c r="C43" s="28"/>
      <c r="D43" s="35"/>
      <c r="E43" s="28"/>
      <c r="F43" s="944"/>
      <c r="G43"/>
      <c r="H43"/>
      <c r="I43"/>
      <c r="J43"/>
      <c r="K43"/>
      <c r="L43"/>
      <c r="M43"/>
      <c r="N43"/>
      <c r="O43"/>
      <c r="AQ43" s="52"/>
      <c r="AR43" s="52"/>
      <c r="AS43" s="52"/>
      <c r="AT43" s="52"/>
      <c r="AU43" s="52"/>
      <c r="AV43" s="52"/>
      <c r="AW43" s="52"/>
      <c r="BB43"/>
      <c r="BC43"/>
    </row>
    <row r="44" spans="1:55" s="6" customFormat="1">
      <c r="A44" s="881" t="s">
        <v>109</v>
      </c>
      <c r="B44" s="656">
        <v>239.4</v>
      </c>
      <c r="C44" s="28"/>
      <c r="D44" s="35"/>
      <c r="E44" s="28"/>
      <c r="F44" s="944"/>
      <c r="G44"/>
      <c r="H44"/>
      <c r="I44"/>
      <c r="J44"/>
      <c r="K44"/>
      <c r="L44"/>
      <c r="M44"/>
      <c r="N44"/>
      <c r="O44"/>
      <c r="AQ44" s="52"/>
      <c r="AR44" s="52"/>
      <c r="AS44" s="52"/>
      <c r="AT44" s="52"/>
      <c r="AU44" s="52"/>
      <c r="AV44" s="52"/>
      <c r="AW44" s="52"/>
      <c r="BB44"/>
      <c r="BC44"/>
    </row>
    <row r="45" spans="1:55" s="6" customFormat="1">
      <c r="A45" s="880"/>
      <c r="B45" s="657"/>
      <c r="C45" s="28"/>
      <c r="D45" s="35"/>
      <c r="E45" s="28"/>
      <c r="F45" s="944"/>
      <c r="G45"/>
      <c r="H45"/>
      <c r="I45"/>
      <c r="J45"/>
      <c r="K45"/>
      <c r="L45"/>
      <c r="M45"/>
      <c r="N45"/>
      <c r="O45"/>
      <c r="AQ45" s="52"/>
      <c r="AR45" s="52"/>
      <c r="AS45" s="52"/>
      <c r="AT45" s="52"/>
      <c r="AU45" s="52"/>
      <c r="AV45" s="52"/>
      <c r="AW45" s="52"/>
      <c r="BB45"/>
      <c r="BC45"/>
    </row>
    <row r="46" spans="1:55" s="6" customFormat="1">
      <c r="A46" s="883" t="s">
        <v>120</v>
      </c>
      <c r="B46" s="658" t="str">
        <f>IF(SUM('Initial data collection sheet'!B130:B136)=0,"No data",'Fuel use input data'!B109/SUM('Initial data collection sheet'!B130:B136))</f>
        <v>No data</v>
      </c>
      <c r="C46" s="28"/>
      <c r="D46" s="675" t="str">
        <f>IF(SUM('Initial data collection sheet'!B130:B136)=0,"No pigs",IF(SUM('Initial data collection sheet'!B130:B136)&lt;1200,B46/'Energy and carbon'!B42,IF(SUM('Initial data collection sheet'!B130:B136)&lt;2100,'Energy and carbon'!B46/'Energy and carbon'!B43,B46/'Energy and carbon'!B44)))</f>
        <v>No pigs</v>
      </c>
      <c r="E46" s="28" t="s">
        <v>485</v>
      </c>
      <c r="F46" s="944" t="str">
        <f>IF(D46="no pigs","N/A",IF(D46&gt;=125%,1,IF(AND(D46&gt;=0,D46&lt;0.49),5,IF(AND(D46&gt;=0.5,D46&lt;0.75),4,IF(AND(D46&gt;=0.75,D46&lt;1),3,IF(AND(D46&gt;=1,D46&lt;1.25),2))))))</f>
        <v>N/A</v>
      </c>
      <c r="G46"/>
      <c r="H46"/>
      <c r="I46"/>
      <c r="J46"/>
      <c r="K46"/>
      <c r="L46"/>
      <c r="M46"/>
      <c r="N46"/>
      <c r="O46"/>
      <c r="AM46" s="45"/>
      <c r="AN46" s="45"/>
      <c r="AO46" s="45"/>
      <c r="AP46" s="45"/>
      <c r="AQ46" s="51" t="s">
        <v>97</v>
      </c>
      <c r="AR46" s="51" t="s">
        <v>91</v>
      </c>
      <c r="AS46" s="51" t="s">
        <v>84</v>
      </c>
      <c r="AT46" s="50"/>
      <c r="AU46" s="50"/>
      <c r="AV46" s="51"/>
      <c r="AW46" s="51"/>
      <c r="AX46" s="45"/>
      <c r="AY46" s="45"/>
      <c r="AZ46" s="45"/>
      <c r="BB46"/>
      <c r="BC46"/>
    </row>
    <row r="47" spans="1:55" s="6" customFormat="1">
      <c r="A47" s="880"/>
      <c r="B47" s="657"/>
      <c r="C47" s="28"/>
      <c r="D47" s="35"/>
      <c r="E47" s="28"/>
      <c r="F47" s="944"/>
      <c r="G47"/>
      <c r="H47"/>
      <c r="I47"/>
      <c r="J47"/>
      <c r="K47"/>
      <c r="L47"/>
      <c r="M47"/>
      <c r="N47"/>
      <c r="O47"/>
      <c r="AM47" s="45"/>
      <c r="AN47" s="45"/>
      <c r="AO47" s="45"/>
      <c r="AP47" s="45"/>
      <c r="AQ47" s="51" t="s">
        <v>100</v>
      </c>
      <c r="AR47" s="51" t="s">
        <v>100</v>
      </c>
      <c r="AS47" s="51" t="s">
        <v>101</v>
      </c>
      <c r="AT47" s="51" t="s">
        <v>146</v>
      </c>
      <c r="AU47" s="50"/>
      <c r="AV47" s="51" t="s">
        <v>144</v>
      </c>
      <c r="AW47" s="51" t="s">
        <v>149</v>
      </c>
      <c r="AX47" s="45"/>
      <c r="AY47" s="45"/>
      <c r="AZ47" s="45"/>
      <c r="BB47"/>
      <c r="BC47"/>
    </row>
    <row r="48" spans="1:55" s="6" customFormat="1">
      <c r="A48" s="882" t="s">
        <v>119</v>
      </c>
      <c r="B48" s="657"/>
      <c r="C48" s="28"/>
      <c r="D48" s="35"/>
      <c r="E48" s="28"/>
      <c r="F48" s="944"/>
      <c r="G48"/>
      <c r="H48"/>
      <c r="I48"/>
      <c r="J48"/>
      <c r="K48"/>
      <c r="L48"/>
      <c r="M48"/>
      <c r="N48"/>
      <c r="O48"/>
      <c r="AQ48" s="50">
        <v>0</v>
      </c>
      <c r="AR48" s="50">
        <v>0</v>
      </c>
      <c r="AS48" s="50">
        <v>1.385</v>
      </c>
      <c r="AT48" s="50"/>
      <c r="AU48" s="50"/>
      <c r="AV48" s="51"/>
      <c r="AW48" s="51"/>
      <c r="BB48"/>
      <c r="BC48"/>
    </row>
    <row r="49" spans="1:16378" s="6" customFormat="1">
      <c r="A49" s="880"/>
      <c r="B49" s="657"/>
      <c r="C49" s="28"/>
      <c r="D49" s="35"/>
      <c r="E49" s="28"/>
      <c r="F49" s="944"/>
      <c r="G49"/>
      <c r="H49"/>
      <c r="I49"/>
      <c r="J49"/>
      <c r="K49"/>
      <c r="L49"/>
      <c r="M49"/>
      <c r="N49"/>
      <c r="O49"/>
      <c r="AQ49" s="50">
        <v>0</v>
      </c>
      <c r="AR49" s="50">
        <v>0</v>
      </c>
      <c r="AS49" s="50">
        <v>0.35499999999999998</v>
      </c>
      <c r="AT49" s="50"/>
      <c r="AU49" s="50"/>
      <c r="AV49" s="51"/>
      <c r="AW49" s="51"/>
      <c r="BB49"/>
      <c r="BC49"/>
    </row>
    <row r="50" spans="1:16378" s="6" customFormat="1">
      <c r="A50" s="881"/>
      <c r="B50" s="660" t="s">
        <v>92</v>
      </c>
      <c r="C50" s="28"/>
      <c r="D50" s="35"/>
      <c r="E50" s="28"/>
      <c r="F50" s="944"/>
      <c r="G50"/>
      <c r="H50"/>
      <c r="I50"/>
      <c r="J50"/>
      <c r="K50"/>
      <c r="L50"/>
      <c r="M50"/>
      <c r="N50"/>
      <c r="O50"/>
      <c r="AQ50" s="50"/>
      <c r="AR50" s="50"/>
      <c r="AS50" s="50"/>
      <c r="AT50" s="50"/>
      <c r="AU50" s="50"/>
      <c r="AV50" s="51"/>
      <c r="AW50" s="51"/>
      <c r="BB50"/>
      <c r="BC50"/>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c r="BMX50" s="45"/>
      <c r="BMY50" s="45"/>
      <c r="BMZ50" s="45"/>
      <c r="BNA50" s="45"/>
      <c r="BNB50" s="45"/>
      <c r="BNC50" s="45"/>
      <c r="BND50" s="45"/>
      <c r="BNE50" s="45"/>
      <c r="BNF50" s="45"/>
      <c r="BNG50" s="45"/>
      <c r="BNH50" s="45"/>
      <c r="BNI50" s="45"/>
      <c r="BNJ50" s="45"/>
      <c r="BNK50" s="45"/>
      <c r="BNL50" s="45"/>
      <c r="BNM50" s="45"/>
      <c r="BNN50" s="45"/>
      <c r="BNO50" s="45"/>
      <c r="BNP50" s="45"/>
      <c r="BNQ50" s="45"/>
      <c r="BNR50" s="45"/>
      <c r="BNS50" s="45"/>
      <c r="BNT50" s="45"/>
      <c r="BNU50" s="45"/>
      <c r="BNV50" s="45"/>
      <c r="BNW50" s="45"/>
      <c r="BNX50" s="45"/>
      <c r="BNY50" s="45"/>
      <c r="BNZ50" s="45"/>
      <c r="BOA50" s="45"/>
      <c r="BOB50" s="45"/>
      <c r="BOC50" s="45"/>
      <c r="BOD50" s="45"/>
      <c r="BOE50" s="45"/>
      <c r="BOF50" s="45"/>
      <c r="BOG50" s="45"/>
      <c r="BOH50" s="45"/>
      <c r="BOI50" s="45"/>
      <c r="BOJ50" s="45"/>
      <c r="BOK50" s="45"/>
      <c r="BOL50" s="45"/>
      <c r="BOM50" s="45"/>
      <c r="BON50" s="45"/>
      <c r="BOO50" s="45"/>
      <c r="BOP50" s="45"/>
      <c r="BOQ50" s="45"/>
      <c r="BOR50" s="45"/>
      <c r="BOS50" s="45"/>
      <c r="BOT50" s="45"/>
      <c r="BOU50" s="45"/>
      <c r="BOV50" s="45"/>
      <c r="BOW50" s="45"/>
      <c r="BOX50" s="45"/>
      <c r="BOY50" s="45"/>
      <c r="BOZ50" s="45"/>
      <c r="BPA50" s="45"/>
      <c r="BPB50" s="45"/>
      <c r="BPC50" s="45"/>
      <c r="BPD50" s="45"/>
      <c r="BPE50" s="45"/>
      <c r="BPF50" s="45"/>
      <c r="BPG50" s="45"/>
      <c r="BPH50" s="45"/>
      <c r="BPI50" s="45"/>
      <c r="BPJ50" s="45"/>
      <c r="BPK50" s="45"/>
      <c r="BPL50" s="45"/>
      <c r="BPM50" s="45"/>
      <c r="BPN50" s="45"/>
      <c r="BPO50" s="45"/>
      <c r="BPP50" s="45"/>
      <c r="BPQ50" s="45"/>
      <c r="BPR50" s="45"/>
      <c r="BPS50" s="45"/>
      <c r="BPT50" s="45"/>
      <c r="BPU50" s="45"/>
      <c r="BPV50" s="45"/>
      <c r="BPW50" s="45"/>
      <c r="BPX50" s="45"/>
      <c r="BPY50" s="45"/>
      <c r="BPZ50" s="45"/>
      <c r="BQA50" s="45"/>
      <c r="BQB50" s="45"/>
      <c r="BQC50" s="45"/>
      <c r="BQD50" s="45"/>
      <c r="BQE50" s="45"/>
      <c r="BQF50" s="45"/>
      <c r="BQG50" s="45"/>
      <c r="BQH50" s="45"/>
      <c r="BQI50" s="45"/>
      <c r="BQJ50" s="45"/>
      <c r="BQK50" s="45"/>
      <c r="BQL50" s="45"/>
      <c r="BQM50" s="45"/>
      <c r="BQN50" s="45"/>
      <c r="BQO50" s="45"/>
      <c r="BQP50" s="45"/>
      <c r="BQQ50" s="45"/>
      <c r="BQR50" s="45"/>
      <c r="BQS50" s="45"/>
      <c r="BQT50" s="45"/>
      <c r="BQU50" s="45"/>
      <c r="BQV50" s="45"/>
      <c r="BQW50" s="45"/>
      <c r="BQX50" s="45"/>
      <c r="BQY50" s="45"/>
      <c r="BQZ50" s="45"/>
      <c r="BRA50" s="45"/>
      <c r="BRB50" s="45"/>
      <c r="BRC50" s="45"/>
      <c r="BRD50" s="45"/>
      <c r="BRE50" s="45"/>
      <c r="BRF50" s="45"/>
      <c r="BRG50" s="45"/>
      <c r="BRH50" s="45"/>
      <c r="BRI50" s="45"/>
      <c r="BRJ50" s="45"/>
      <c r="BRK50" s="45"/>
      <c r="BRL50" s="45"/>
      <c r="BRM50" s="45"/>
      <c r="BRN50" s="45"/>
      <c r="BRO50" s="45"/>
      <c r="BRP50" s="45"/>
      <c r="BRQ50" s="45"/>
      <c r="BRR50" s="45"/>
      <c r="BRS50" s="45"/>
      <c r="BRT50" s="45"/>
      <c r="BRU50" s="45"/>
      <c r="BRV50" s="45"/>
      <c r="BRW50" s="45"/>
      <c r="BRX50" s="45"/>
      <c r="BRY50" s="45"/>
      <c r="BRZ50" s="45"/>
      <c r="BSA50" s="45"/>
      <c r="BSB50" s="45"/>
      <c r="BSC50" s="45"/>
      <c r="BSD50" s="45"/>
      <c r="BSE50" s="45"/>
      <c r="BSF50" s="45"/>
      <c r="BSG50" s="45"/>
      <c r="BSH50" s="45"/>
      <c r="BSI50" s="45"/>
      <c r="BSJ50" s="45"/>
      <c r="BSK50" s="45"/>
      <c r="BSL50" s="45"/>
      <c r="BSM50" s="45"/>
      <c r="BSN50" s="45"/>
      <c r="BSO50" s="45"/>
      <c r="BSP50" s="45"/>
      <c r="BSQ50" s="45"/>
      <c r="BSR50" s="45"/>
      <c r="BSS50" s="45"/>
      <c r="BST50" s="45"/>
      <c r="BSU50" s="45"/>
      <c r="BSV50" s="45"/>
      <c r="BSW50" s="45"/>
      <c r="BSX50" s="45"/>
      <c r="BSY50" s="45"/>
      <c r="BSZ50" s="45"/>
      <c r="BTA50" s="45"/>
      <c r="BTB50" s="45"/>
      <c r="BTC50" s="45"/>
      <c r="BTD50" s="45"/>
      <c r="BTE50" s="45"/>
      <c r="BTF50" s="45"/>
      <c r="BTG50" s="45"/>
      <c r="BTH50" s="45"/>
      <c r="BTI50" s="45"/>
      <c r="BTJ50" s="45"/>
      <c r="BTK50" s="45"/>
      <c r="BTL50" s="45"/>
      <c r="BTM50" s="45"/>
      <c r="BTN50" s="45"/>
      <c r="BTO50" s="45"/>
      <c r="BTP50" s="45"/>
      <c r="BTQ50" s="45"/>
      <c r="BTR50" s="45"/>
      <c r="BTS50" s="45"/>
      <c r="BTT50" s="45"/>
      <c r="BTU50" s="45"/>
      <c r="BTV50" s="45"/>
      <c r="BTW50" s="45"/>
      <c r="BTX50" s="45"/>
      <c r="BTY50" s="45"/>
      <c r="BTZ50" s="45"/>
      <c r="BUA50" s="45"/>
      <c r="BUB50" s="45"/>
      <c r="BUC50" s="45"/>
      <c r="BUD50" s="45"/>
      <c r="BUE50" s="45"/>
      <c r="BUF50" s="45"/>
      <c r="BUG50" s="45"/>
      <c r="BUH50" s="45"/>
      <c r="BUI50" s="45"/>
      <c r="BUJ50" s="45"/>
      <c r="BUK50" s="45"/>
      <c r="BUL50" s="45"/>
      <c r="BUM50" s="45"/>
      <c r="BUN50" s="45"/>
      <c r="BUO50" s="45"/>
      <c r="BUP50" s="45"/>
      <c r="BUQ50" s="45"/>
      <c r="BUR50" s="45"/>
      <c r="BUS50" s="45"/>
      <c r="BUT50" s="45"/>
      <c r="BUU50" s="45"/>
      <c r="BUV50" s="45"/>
      <c r="BUW50" s="45"/>
      <c r="BUX50" s="45"/>
      <c r="BUY50" s="45"/>
      <c r="BUZ50" s="45"/>
      <c r="BVA50" s="45"/>
      <c r="BVB50" s="45"/>
      <c r="BVC50" s="45"/>
      <c r="BVD50" s="45"/>
      <c r="BVE50" s="45"/>
      <c r="BVF50" s="45"/>
      <c r="BVG50" s="45"/>
      <c r="BVH50" s="45"/>
      <c r="BVI50" s="45"/>
      <c r="BVJ50" s="45"/>
      <c r="BVK50" s="45"/>
      <c r="BVL50" s="45"/>
      <c r="BVM50" s="45"/>
      <c r="BVN50" s="45"/>
      <c r="BVO50" s="45"/>
      <c r="BVP50" s="45"/>
      <c r="BVQ50" s="45"/>
      <c r="BVR50" s="45"/>
      <c r="BVS50" s="45"/>
      <c r="BVT50" s="45"/>
      <c r="BVU50" s="45"/>
      <c r="BVV50" s="45"/>
      <c r="BVW50" s="45"/>
      <c r="BVX50" s="45"/>
      <c r="BVY50" s="45"/>
      <c r="BVZ50" s="45"/>
      <c r="BWA50" s="45"/>
      <c r="BWB50" s="45"/>
      <c r="BWC50" s="45"/>
      <c r="BWD50" s="45"/>
      <c r="BWE50" s="45"/>
      <c r="BWF50" s="45"/>
      <c r="BWG50" s="45"/>
      <c r="BWH50" s="45"/>
      <c r="BWI50" s="45"/>
      <c r="BWJ50" s="45"/>
      <c r="BWK50" s="45"/>
      <c r="BWL50" s="45"/>
      <c r="BWM50" s="45"/>
      <c r="BWN50" s="45"/>
      <c r="BWO50" s="45"/>
      <c r="BWP50" s="45"/>
      <c r="BWQ50" s="45"/>
      <c r="BWR50" s="45"/>
      <c r="BWS50" s="45"/>
      <c r="BWT50" s="45"/>
      <c r="BWU50" s="45"/>
      <c r="BWV50" s="45"/>
      <c r="BWW50" s="45"/>
      <c r="BWX50" s="45"/>
      <c r="BWY50" s="45"/>
      <c r="BWZ50" s="45"/>
      <c r="BXA50" s="45"/>
      <c r="BXB50" s="45"/>
      <c r="BXC50" s="45"/>
      <c r="BXD50" s="45"/>
      <c r="BXE50" s="45"/>
      <c r="BXF50" s="45"/>
      <c r="BXG50" s="45"/>
      <c r="BXH50" s="45"/>
      <c r="BXI50" s="45"/>
      <c r="BXJ50" s="45"/>
      <c r="BXK50" s="45"/>
      <c r="BXL50" s="45"/>
      <c r="BXM50" s="45"/>
      <c r="BXN50" s="45"/>
      <c r="BXO50" s="45"/>
      <c r="BXP50" s="45"/>
      <c r="BXQ50" s="45"/>
      <c r="BXR50" s="45"/>
      <c r="BXS50" s="45"/>
      <c r="BXT50" s="45"/>
      <c r="BXU50" s="45"/>
      <c r="BXV50" s="45"/>
      <c r="BXW50" s="45"/>
      <c r="BXX50" s="45"/>
      <c r="BXY50" s="45"/>
      <c r="BXZ50" s="45"/>
      <c r="BYA50" s="45"/>
      <c r="BYB50" s="45"/>
      <c r="BYC50" s="45"/>
      <c r="BYD50" s="45"/>
      <c r="BYE50" s="45"/>
      <c r="BYF50" s="45"/>
      <c r="BYG50" s="45"/>
      <c r="BYH50" s="45"/>
      <c r="BYI50" s="45"/>
      <c r="BYJ50" s="45"/>
      <c r="BYK50" s="45"/>
      <c r="BYL50" s="45"/>
      <c r="BYM50" s="45"/>
      <c r="BYN50" s="45"/>
      <c r="BYO50" s="45"/>
      <c r="BYP50" s="45"/>
      <c r="BYQ50" s="45"/>
      <c r="BYR50" s="45"/>
      <c r="BYS50" s="45"/>
      <c r="BYT50" s="45"/>
      <c r="BYU50" s="45"/>
      <c r="BYV50" s="45"/>
      <c r="BYW50" s="45"/>
      <c r="BYX50" s="45"/>
      <c r="BYY50" s="45"/>
      <c r="BYZ50" s="45"/>
      <c r="BZA50" s="45"/>
      <c r="BZB50" s="45"/>
      <c r="BZC50" s="45"/>
      <c r="BZD50" s="45"/>
      <c r="BZE50" s="45"/>
      <c r="BZF50" s="45"/>
      <c r="BZG50" s="45"/>
      <c r="BZH50" s="45"/>
      <c r="BZI50" s="45"/>
      <c r="BZJ50" s="45"/>
      <c r="BZK50" s="45"/>
      <c r="BZL50" s="45"/>
      <c r="BZM50" s="45"/>
      <c r="BZN50" s="45"/>
      <c r="BZO50" s="45"/>
      <c r="BZP50" s="45"/>
      <c r="BZQ50" s="45"/>
      <c r="BZR50" s="45"/>
      <c r="BZS50" s="45"/>
      <c r="BZT50" s="45"/>
      <c r="BZU50" s="45"/>
      <c r="BZV50" s="45"/>
      <c r="BZW50" s="45"/>
      <c r="BZX50" s="45"/>
      <c r="BZY50" s="45"/>
      <c r="BZZ50" s="45"/>
      <c r="CAA50" s="45"/>
      <c r="CAB50" s="45"/>
      <c r="CAC50" s="45"/>
      <c r="CAD50" s="45"/>
      <c r="CAE50" s="45"/>
      <c r="CAF50" s="45"/>
      <c r="CAG50" s="45"/>
      <c r="CAH50" s="45"/>
      <c r="CAI50" s="45"/>
      <c r="CAJ50" s="45"/>
      <c r="CAK50" s="45"/>
      <c r="CAL50" s="45"/>
      <c r="CAM50" s="45"/>
      <c r="CAN50" s="45"/>
      <c r="CAO50" s="45"/>
      <c r="CAP50" s="45"/>
      <c r="CAQ50" s="45"/>
      <c r="CAR50" s="45"/>
      <c r="CAS50" s="45"/>
      <c r="CAT50" s="45"/>
      <c r="CAU50" s="45"/>
      <c r="CAV50" s="45"/>
      <c r="CAW50" s="45"/>
      <c r="CAX50" s="45"/>
      <c r="CAY50" s="45"/>
      <c r="CAZ50" s="45"/>
      <c r="CBA50" s="45"/>
      <c r="CBB50" s="45"/>
      <c r="CBC50" s="45"/>
      <c r="CBD50" s="45"/>
      <c r="CBE50" s="45"/>
      <c r="CBF50" s="45"/>
      <c r="CBG50" s="45"/>
      <c r="CBH50" s="45"/>
      <c r="CBI50" s="45"/>
      <c r="CBJ50" s="45"/>
      <c r="CBK50" s="45"/>
      <c r="CBL50" s="45"/>
      <c r="CBM50" s="45"/>
      <c r="CBN50" s="45"/>
      <c r="CBO50" s="45"/>
      <c r="CBP50" s="45"/>
      <c r="CBQ50" s="45"/>
      <c r="CBR50" s="45"/>
      <c r="CBS50" s="45"/>
      <c r="CBT50" s="45"/>
      <c r="CBU50" s="45"/>
      <c r="CBV50" s="45"/>
      <c r="CBW50" s="45"/>
      <c r="CBX50" s="45"/>
      <c r="CBY50" s="45"/>
      <c r="CBZ50" s="45"/>
      <c r="CCA50" s="45"/>
      <c r="CCB50" s="45"/>
      <c r="CCC50" s="45"/>
      <c r="CCD50" s="45"/>
      <c r="CCE50" s="45"/>
      <c r="CCF50" s="45"/>
      <c r="CCG50" s="45"/>
      <c r="CCH50" s="45"/>
      <c r="CCI50" s="45"/>
      <c r="CCJ50" s="45"/>
      <c r="CCK50" s="45"/>
      <c r="CCL50" s="45"/>
      <c r="CCM50" s="45"/>
      <c r="CCN50" s="45"/>
      <c r="CCO50" s="45"/>
      <c r="CCP50" s="45"/>
      <c r="CCQ50" s="45"/>
      <c r="CCR50" s="45"/>
      <c r="CCS50" s="45"/>
      <c r="CCT50" s="45"/>
      <c r="CCU50" s="45"/>
      <c r="CCV50" s="45"/>
      <c r="CCW50" s="45"/>
      <c r="CCX50" s="45"/>
      <c r="CCY50" s="45"/>
      <c r="CCZ50" s="45"/>
      <c r="CDA50" s="45"/>
      <c r="CDB50" s="45"/>
      <c r="CDC50" s="45"/>
      <c r="CDD50" s="45"/>
      <c r="CDE50" s="45"/>
      <c r="CDF50" s="45"/>
      <c r="CDG50" s="45"/>
      <c r="CDH50" s="45"/>
      <c r="CDI50" s="45"/>
      <c r="CDJ50" s="45"/>
      <c r="CDK50" s="45"/>
      <c r="CDL50" s="45"/>
      <c r="CDM50" s="45"/>
      <c r="CDN50" s="45"/>
      <c r="CDO50" s="45"/>
      <c r="CDP50" s="45"/>
      <c r="CDQ50" s="45"/>
      <c r="CDR50" s="45"/>
      <c r="CDS50" s="45"/>
      <c r="CDT50" s="45"/>
      <c r="CDU50" s="45"/>
      <c r="CDV50" s="45"/>
      <c r="CDW50" s="45"/>
      <c r="CDX50" s="45"/>
      <c r="CDY50" s="45"/>
      <c r="CDZ50" s="45"/>
      <c r="CEA50" s="45"/>
      <c r="CEB50" s="45"/>
      <c r="CEC50" s="45"/>
      <c r="CED50" s="45"/>
      <c r="CEE50" s="45"/>
      <c r="CEF50" s="45"/>
      <c r="CEG50" s="45"/>
      <c r="CEH50" s="45"/>
      <c r="CEI50" s="45"/>
      <c r="CEJ50" s="45"/>
      <c r="CEK50" s="45"/>
      <c r="CEL50" s="45"/>
      <c r="CEM50" s="45"/>
      <c r="CEN50" s="45"/>
      <c r="CEO50" s="45"/>
      <c r="CEP50" s="45"/>
      <c r="CEQ50" s="45"/>
      <c r="CER50" s="45"/>
      <c r="CES50" s="45"/>
      <c r="CET50" s="45"/>
      <c r="CEU50" s="45"/>
      <c r="CEV50" s="45"/>
      <c r="CEW50" s="45"/>
      <c r="CEX50" s="45"/>
      <c r="CEY50" s="45"/>
      <c r="CEZ50" s="45"/>
      <c r="CFA50" s="45"/>
      <c r="CFB50" s="45"/>
      <c r="CFC50" s="45"/>
      <c r="CFD50" s="45"/>
      <c r="CFE50" s="45"/>
      <c r="CFF50" s="45"/>
      <c r="CFG50" s="45"/>
      <c r="CFH50" s="45"/>
      <c r="CFI50" s="45"/>
      <c r="CFJ50" s="45"/>
      <c r="CFK50" s="45"/>
      <c r="CFL50" s="45"/>
      <c r="CFM50" s="45"/>
      <c r="CFN50" s="45"/>
      <c r="CFO50" s="45"/>
      <c r="CFP50" s="45"/>
      <c r="CFQ50" s="45"/>
      <c r="CFR50" s="45"/>
      <c r="CFS50" s="45"/>
      <c r="CFT50" s="45"/>
      <c r="CFU50" s="45"/>
      <c r="CFV50" s="45"/>
      <c r="CFW50" s="45"/>
      <c r="CFX50" s="45"/>
      <c r="CFY50" s="45"/>
      <c r="CFZ50" s="45"/>
      <c r="CGA50" s="45"/>
      <c r="CGB50" s="45"/>
      <c r="CGC50" s="45"/>
      <c r="CGD50" s="45"/>
      <c r="CGE50" s="45"/>
      <c r="CGF50" s="45"/>
      <c r="CGG50" s="45"/>
      <c r="CGH50" s="45"/>
      <c r="CGI50" s="45"/>
      <c r="CGJ50" s="45"/>
      <c r="CGK50" s="45"/>
      <c r="CGL50" s="45"/>
      <c r="CGM50" s="45"/>
      <c r="CGN50" s="45"/>
      <c r="CGO50" s="45"/>
      <c r="CGP50" s="45"/>
      <c r="CGQ50" s="45"/>
      <c r="CGR50" s="45"/>
      <c r="CGS50" s="45"/>
      <c r="CGT50" s="45"/>
      <c r="CGU50" s="45"/>
      <c r="CGV50" s="45"/>
      <c r="CGW50" s="45"/>
      <c r="CGX50" s="45"/>
      <c r="CGY50" s="45"/>
      <c r="CGZ50" s="45"/>
      <c r="CHA50" s="45"/>
      <c r="CHB50" s="45"/>
      <c r="CHC50" s="45"/>
      <c r="CHD50" s="45"/>
      <c r="CHE50" s="45"/>
      <c r="CHF50" s="45"/>
      <c r="CHG50" s="45"/>
      <c r="CHH50" s="45"/>
      <c r="CHI50" s="45"/>
      <c r="CHJ50" s="45"/>
      <c r="CHK50" s="45"/>
      <c r="CHL50" s="45"/>
      <c r="CHM50" s="45"/>
      <c r="CHN50" s="45"/>
      <c r="CHO50" s="45"/>
      <c r="CHP50" s="45"/>
      <c r="CHQ50" s="45"/>
      <c r="CHR50" s="45"/>
      <c r="CHS50" s="45"/>
      <c r="CHT50" s="45"/>
      <c r="CHU50" s="45"/>
      <c r="CHV50" s="45"/>
      <c r="CHW50" s="45"/>
      <c r="CHX50" s="45"/>
      <c r="CHY50" s="45"/>
      <c r="CHZ50" s="45"/>
      <c r="CIA50" s="45"/>
      <c r="CIB50" s="45"/>
      <c r="CIC50" s="45"/>
      <c r="CID50" s="45"/>
      <c r="CIE50" s="45"/>
      <c r="CIF50" s="45"/>
      <c r="CIG50" s="45"/>
      <c r="CIH50" s="45"/>
      <c r="CII50" s="45"/>
      <c r="CIJ50" s="45"/>
      <c r="CIK50" s="45"/>
      <c r="CIL50" s="45"/>
      <c r="CIM50" s="45"/>
      <c r="CIN50" s="45"/>
      <c r="CIO50" s="45"/>
      <c r="CIP50" s="45"/>
      <c r="CIQ50" s="45"/>
      <c r="CIR50" s="45"/>
      <c r="CIS50" s="45"/>
      <c r="CIT50" s="45"/>
      <c r="CIU50" s="45"/>
      <c r="CIV50" s="45"/>
      <c r="CIW50" s="45"/>
      <c r="CIX50" s="45"/>
      <c r="CIY50" s="45"/>
      <c r="CIZ50" s="45"/>
      <c r="CJA50" s="45"/>
      <c r="CJB50" s="45"/>
      <c r="CJC50" s="45"/>
      <c r="CJD50" s="45"/>
      <c r="CJE50" s="45"/>
      <c r="CJF50" s="45"/>
      <c r="CJG50" s="45"/>
      <c r="CJH50" s="45"/>
      <c r="CJI50" s="45"/>
      <c r="CJJ50" s="45"/>
      <c r="CJK50" s="45"/>
      <c r="CJL50" s="45"/>
      <c r="CJM50" s="45"/>
      <c r="CJN50" s="45"/>
      <c r="CJO50" s="45"/>
      <c r="CJP50" s="45"/>
      <c r="CJQ50" s="45"/>
      <c r="CJR50" s="45"/>
      <c r="CJS50" s="45"/>
      <c r="CJT50" s="45"/>
      <c r="CJU50" s="45"/>
      <c r="CJV50" s="45"/>
      <c r="CJW50" s="45"/>
      <c r="CJX50" s="45"/>
      <c r="CJY50" s="45"/>
      <c r="CJZ50" s="45"/>
      <c r="CKA50" s="45"/>
      <c r="CKB50" s="45"/>
      <c r="CKC50" s="45"/>
      <c r="CKD50" s="45"/>
      <c r="CKE50" s="45"/>
      <c r="CKF50" s="45"/>
      <c r="CKG50" s="45"/>
      <c r="CKH50" s="45"/>
      <c r="CKI50" s="45"/>
      <c r="CKJ50" s="45"/>
      <c r="CKK50" s="45"/>
      <c r="CKL50" s="45"/>
      <c r="CKM50" s="45"/>
      <c r="CKN50" s="45"/>
      <c r="CKO50" s="45"/>
      <c r="CKP50" s="45"/>
      <c r="CKQ50" s="45"/>
      <c r="CKR50" s="45"/>
      <c r="CKS50" s="45"/>
      <c r="CKT50" s="45"/>
      <c r="CKU50" s="45"/>
      <c r="CKV50" s="45"/>
      <c r="CKW50" s="45"/>
      <c r="CKX50" s="45"/>
      <c r="CKY50" s="45"/>
      <c r="CKZ50" s="45"/>
      <c r="CLA50" s="45"/>
      <c r="CLB50" s="45"/>
      <c r="CLC50" s="45"/>
      <c r="CLD50" s="45"/>
      <c r="CLE50" s="45"/>
      <c r="CLF50" s="45"/>
      <c r="CLG50" s="45"/>
      <c r="CLH50" s="45"/>
      <c r="CLI50" s="45"/>
      <c r="CLJ50" s="45"/>
      <c r="CLK50" s="45"/>
      <c r="CLL50" s="45"/>
      <c r="CLM50" s="45"/>
      <c r="CLN50" s="45"/>
      <c r="CLO50" s="45"/>
      <c r="CLP50" s="45"/>
      <c r="CLQ50" s="45"/>
      <c r="CLR50" s="45"/>
      <c r="CLS50" s="45"/>
      <c r="CLT50" s="45"/>
      <c r="CLU50" s="45"/>
      <c r="CLV50" s="45"/>
      <c r="CLW50" s="45"/>
      <c r="CLX50" s="45"/>
      <c r="CLY50" s="45"/>
      <c r="CLZ50" s="45"/>
      <c r="CMA50" s="45"/>
      <c r="CMB50" s="45"/>
      <c r="CMC50" s="45"/>
      <c r="CMD50" s="45"/>
      <c r="CME50" s="45"/>
      <c r="CMF50" s="45"/>
      <c r="CMG50" s="45"/>
      <c r="CMH50" s="45"/>
      <c r="CMI50" s="45"/>
      <c r="CMJ50" s="45"/>
      <c r="CMK50" s="45"/>
      <c r="CML50" s="45"/>
      <c r="CMM50" s="45"/>
      <c r="CMN50" s="45"/>
      <c r="CMO50" s="45"/>
      <c r="CMP50" s="45"/>
      <c r="CMQ50" s="45"/>
      <c r="CMR50" s="45"/>
      <c r="CMS50" s="45"/>
      <c r="CMT50" s="45"/>
      <c r="CMU50" s="45"/>
      <c r="CMV50" s="45"/>
      <c r="CMW50" s="45"/>
      <c r="CMX50" s="45"/>
      <c r="CMY50" s="45"/>
      <c r="CMZ50" s="45"/>
      <c r="CNA50" s="45"/>
      <c r="CNB50" s="45"/>
      <c r="CNC50" s="45"/>
      <c r="CND50" s="45"/>
      <c r="CNE50" s="45"/>
      <c r="CNF50" s="45"/>
      <c r="CNG50" s="45"/>
      <c r="CNH50" s="45"/>
      <c r="CNI50" s="45"/>
      <c r="CNJ50" s="45"/>
      <c r="CNK50" s="45"/>
      <c r="CNL50" s="45"/>
      <c r="CNM50" s="45"/>
      <c r="CNN50" s="45"/>
      <c r="CNO50" s="45"/>
      <c r="CNP50" s="45"/>
      <c r="CNQ50" s="45"/>
      <c r="CNR50" s="45"/>
      <c r="CNS50" s="45"/>
      <c r="CNT50" s="45"/>
      <c r="CNU50" s="45"/>
      <c r="CNV50" s="45"/>
      <c r="CNW50" s="45"/>
      <c r="CNX50" s="45"/>
      <c r="CNY50" s="45"/>
      <c r="CNZ50" s="45"/>
      <c r="COA50" s="45"/>
      <c r="COB50" s="45"/>
      <c r="COC50" s="45"/>
      <c r="COD50" s="45"/>
      <c r="COE50" s="45"/>
      <c r="COF50" s="45"/>
      <c r="COG50" s="45"/>
      <c r="COH50" s="45"/>
      <c r="COI50" s="45"/>
      <c r="COJ50" s="45"/>
      <c r="COK50" s="45"/>
      <c r="COL50" s="45"/>
      <c r="COM50" s="45"/>
      <c r="CON50" s="45"/>
      <c r="COO50" s="45"/>
      <c r="COP50" s="45"/>
      <c r="COQ50" s="45"/>
      <c r="COR50" s="45"/>
      <c r="COS50" s="45"/>
      <c r="COT50" s="45"/>
      <c r="COU50" s="45"/>
      <c r="COV50" s="45"/>
      <c r="COW50" s="45"/>
      <c r="COX50" s="45"/>
      <c r="COY50" s="45"/>
      <c r="COZ50" s="45"/>
      <c r="CPA50" s="45"/>
      <c r="CPB50" s="45"/>
      <c r="CPC50" s="45"/>
      <c r="CPD50" s="45"/>
      <c r="CPE50" s="45"/>
      <c r="CPF50" s="45"/>
      <c r="CPG50" s="45"/>
      <c r="CPH50" s="45"/>
      <c r="CPI50" s="45"/>
      <c r="CPJ50" s="45"/>
      <c r="CPK50" s="45"/>
      <c r="CPL50" s="45"/>
      <c r="CPM50" s="45"/>
      <c r="CPN50" s="45"/>
      <c r="CPO50" s="45"/>
      <c r="CPP50" s="45"/>
      <c r="CPQ50" s="45"/>
      <c r="CPR50" s="45"/>
      <c r="CPS50" s="45"/>
      <c r="CPT50" s="45"/>
      <c r="CPU50" s="45"/>
      <c r="CPV50" s="45"/>
      <c r="CPW50" s="45"/>
      <c r="CPX50" s="45"/>
      <c r="CPY50" s="45"/>
      <c r="CPZ50" s="45"/>
      <c r="CQA50" s="45"/>
      <c r="CQB50" s="45"/>
      <c r="CQC50" s="45"/>
      <c r="CQD50" s="45"/>
      <c r="CQE50" s="45"/>
      <c r="CQF50" s="45"/>
      <c r="CQG50" s="45"/>
      <c r="CQH50" s="45"/>
      <c r="CQI50" s="45"/>
      <c r="CQJ50" s="45"/>
      <c r="CQK50" s="45"/>
      <c r="CQL50" s="45"/>
      <c r="CQM50" s="45"/>
      <c r="CQN50" s="45"/>
      <c r="CQO50" s="45"/>
      <c r="CQP50" s="45"/>
      <c r="CQQ50" s="45"/>
      <c r="CQR50" s="45"/>
      <c r="CQS50" s="45"/>
      <c r="CQT50" s="45"/>
      <c r="CQU50" s="45"/>
      <c r="CQV50" s="45"/>
      <c r="CQW50" s="45"/>
      <c r="CQX50" s="45"/>
      <c r="CQY50" s="45"/>
      <c r="CQZ50" s="45"/>
      <c r="CRA50" s="45"/>
      <c r="CRB50" s="45"/>
      <c r="CRC50" s="45"/>
      <c r="CRD50" s="45"/>
      <c r="CRE50" s="45"/>
      <c r="CRF50" s="45"/>
      <c r="CRG50" s="45"/>
      <c r="CRH50" s="45"/>
      <c r="CRI50" s="45"/>
      <c r="CRJ50" s="45"/>
      <c r="CRK50" s="45"/>
      <c r="CRL50" s="45"/>
      <c r="CRM50" s="45"/>
      <c r="CRN50" s="45"/>
      <c r="CRO50" s="45"/>
      <c r="CRP50" s="45"/>
      <c r="CRQ50" s="45"/>
      <c r="CRR50" s="45"/>
      <c r="CRS50" s="45"/>
      <c r="CRT50" s="45"/>
      <c r="CRU50" s="45"/>
      <c r="CRV50" s="45"/>
      <c r="CRW50" s="45"/>
      <c r="CRX50" s="45"/>
      <c r="CRY50" s="45"/>
      <c r="CRZ50" s="45"/>
      <c r="CSA50" s="45"/>
      <c r="CSB50" s="45"/>
      <c r="CSC50" s="45"/>
      <c r="CSD50" s="45"/>
      <c r="CSE50" s="45"/>
      <c r="CSF50" s="45"/>
      <c r="CSG50" s="45"/>
      <c r="CSH50" s="45"/>
      <c r="CSI50" s="45"/>
      <c r="CSJ50" s="45"/>
      <c r="CSK50" s="45"/>
      <c r="CSL50" s="45"/>
      <c r="CSM50" s="45"/>
      <c r="CSN50" s="45"/>
      <c r="CSO50" s="45"/>
      <c r="CSP50" s="45"/>
      <c r="CSQ50" s="45"/>
      <c r="CSR50" s="45"/>
      <c r="CSS50" s="45"/>
      <c r="CST50" s="45"/>
      <c r="CSU50" s="45"/>
      <c r="CSV50" s="45"/>
      <c r="CSW50" s="45"/>
      <c r="CSX50" s="45"/>
      <c r="CSY50" s="45"/>
      <c r="CSZ50" s="45"/>
      <c r="CTA50" s="45"/>
      <c r="CTB50" s="45"/>
      <c r="CTC50" s="45"/>
      <c r="CTD50" s="45"/>
      <c r="CTE50" s="45"/>
      <c r="CTF50" s="45"/>
      <c r="CTG50" s="45"/>
      <c r="CTH50" s="45"/>
      <c r="CTI50" s="45"/>
      <c r="CTJ50" s="45"/>
      <c r="CTK50" s="45"/>
      <c r="CTL50" s="45"/>
      <c r="CTM50" s="45"/>
      <c r="CTN50" s="45"/>
      <c r="CTO50" s="45"/>
      <c r="CTP50" s="45"/>
      <c r="CTQ50" s="45"/>
      <c r="CTR50" s="45"/>
      <c r="CTS50" s="45"/>
      <c r="CTT50" s="45"/>
      <c r="CTU50" s="45"/>
      <c r="CTV50" s="45"/>
      <c r="CTW50" s="45"/>
      <c r="CTX50" s="45"/>
      <c r="CTY50" s="45"/>
      <c r="CTZ50" s="45"/>
      <c r="CUA50" s="45"/>
      <c r="CUB50" s="45"/>
      <c r="CUC50" s="45"/>
      <c r="CUD50" s="45"/>
      <c r="CUE50" s="45"/>
      <c r="CUF50" s="45"/>
      <c r="CUG50" s="45"/>
      <c r="CUH50" s="45"/>
      <c r="CUI50" s="45"/>
      <c r="CUJ50" s="45"/>
      <c r="CUK50" s="45"/>
      <c r="CUL50" s="45"/>
      <c r="CUM50" s="45"/>
      <c r="CUN50" s="45"/>
      <c r="CUO50" s="45"/>
      <c r="CUP50" s="45"/>
      <c r="CUQ50" s="45"/>
      <c r="CUR50" s="45"/>
      <c r="CUS50" s="45"/>
      <c r="CUT50" s="45"/>
      <c r="CUU50" s="45"/>
      <c r="CUV50" s="45"/>
      <c r="CUW50" s="45"/>
      <c r="CUX50" s="45"/>
      <c r="CUY50" s="45"/>
      <c r="CUZ50" s="45"/>
      <c r="CVA50" s="45"/>
      <c r="CVB50" s="45"/>
      <c r="CVC50" s="45"/>
      <c r="CVD50" s="45"/>
      <c r="CVE50" s="45"/>
      <c r="CVF50" s="45"/>
      <c r="CVG50" s="45"/>
      <c r="CVH50" s="45"/>
      <c r="CVI50" s="45"/>
      <c r="CVJ50" s="45"/>
      <c r="CVK50" s="45"/>
      <c r="CVL50" s="45"/>
      <c r="CVM50" s="45"/>
      <c r="CVN50" s="45"/>
      <c r="CVO50" s="45"/>
      <c r="CVP50" s="45"/>
      <c r="CVQ50" s="45"/>
      <c r="CVR50" s="45"/>
      <c r="CVS50" s="45"/>
      <c r="CVT50" s="45"/>
      <c r="CVU50" s="45"/>
      <c r="CVV50" s="45"/>
      <c r="CVW50" s="45"/>
      <c r="CVX50" s="45"/>
      <c r="CVY50" s="45"/>
      <c r="CVZ50" s="45"/>
      <c r="CWA50" s="45"/>
      <c r="CWB50" s="45"/>
      <c r="CWC50" s="45"/>
      <c r="CWD50" s="45"/>
      <c r="CWE50" s="45"/>
      <c r="CWF50" s="45"/>
      <c r="CWG50" s="45"/>
      <c r="CWH50" s="45"/>
      <c r="CWI50" s="45"/>
      <c r="CWJ50" s="45"/>
      <c r="CWK50" s="45"/>
      <c r="CWL50" s="45"/>
      <c r="CWM50" s="45"/>
      <c r="CWN50" s="45"/>
      <c r="CWO50" s="45"/>
      <c r="CWP50" s="45"/>
      <c r="CWQ50" s="45"/>
      <c r="CWR50" s="45"/>
      <c r="CWS50" s="45"/>
      <c r="CWT50" s="45"/>
      <c r="CWU50" s="45"/>
      <c r="CWV50" s="45"/>
      <c r="CWW50" s="45"/>
      <c r="CWX50" s="45"/>
      <c r="CWY50" s="45"/>
      <c r="CWZ50" s="45"/>
      <c r="CXA50" s="45"/>
      <c r="CXB50" s="45"/>
      <c r="CXC50" s="45"/>
      <c r="CXD50" s="45"/>
      <c r="CXE50" s="45"/>
      <c r="CXF50" s="45"/>
      <c r="CXG50" s="45"/>
      <c r="CXH50" s="45"/>
      <c r="CXI50" s="45"/>
      <c r="CXJ50" s="45"/>
      <c r="CXK50" s="45"/>
      <c r="CXL50" s="45"/>
      <c r="CXM50" s="45"/>
      <c r="CXN50" s="45"/>
      <c r="CXO50" s="45"/>
      <c r="CXP50" s="45"/>
      <c r="CXQ50" s="45"/>
      <c r="CXR50" s="45"/>
      <c r="CXS50" s="45"/>
      <c r="CXT50" s="45"/>
      <c r="CXU50" s="45"/>
      <c r="CXV50" s="45"/>
      <c r="CXW50" s="45"/>
      <c r="CXX50" s="45"/>
      <c r="CXY50" s="45"/>
      <c r="CXZ50" s="45"/>
      <c r="CYA50" s="45"/>
      <c r="CYB50" s="45"/>
      <c r="CYC50" s="45"/>
      <c r="CYD50" s="45"/>
      <c r="CYE50" s="45"/>
      <c r="CYF50" s="45"/>
      <c r="CYG50" s="45"/>
      <c r="CYH50" s="45"/>
      <c r="CYI50" s="45"/>
      <c r="CYJ50" s="45"/>
      <c r="CYK50" s="45"/>
      <c r="CYL50" s="45"/>
      <c r="CYM50" s="45"/>
      <c r="CYN50" s="45"/>
      <c r="CYO50" s="45"/>
      <c r="CYP50" s="45"/>
      <c r="CYQ50" s="45"/>
      <c r="CYR50" s="45"/>
      <c r="CYS50" s="45"/>
      <c r="CYT50" s="45"/>
      <c r="CYU50" s="45"/>
      <c r="CYV50" s="45"/>
      <c r="CYW50" s="45"/>
      <c r="CYX50" s="45"/>
      <c r="CYY50" s="45"/>
      <c r="CYZ50" s="45"/>
      <c r="CZA50" s="45"/>
      <c r="CZB50" s="45"/>
      <c r="CZC50" s="45"/>
      <c r="CZD50" s="45"/>
      <c r="CZE50" s="45"/>
      <c r="CZF50" s="45"/>
      <c r="CZG50" s="45"/>
      <c r="CZH50" s="45"/>
      <c r="CZI50" s="45"/>
      <c r="CZJ50" s="45"/>
      <c r="CZK50" s="45"/>
      <c r="CZL50" s="45"/>
      <c r="CZM50" s="45"/>
      <c r="CZN50" s="45"/>
      <c r="CZO50" s="45"/>
      <c r="CZP50" s="45"/>
      <c r="CZQ50" s="45"/>
      <c r="CZR50" s="45"/>
      <c r="CZS50" s="45"/>
      <c r="CZT50" s="45"/>
      <c r="CZU50" s="45"/>
      <c r="CZV50" s="45"/>
      <c r="CZW50" s="45"/>
      <c r="CZX50" s="45"/>
      <c r="CZY50" s="45"/>
      <c r="CZZ50" s="45"/>
      <c r="DAA50" s="45"/>
      <c r="DAB50" s="45"/>
      <c r="DAC50" s="45"/>
      <c r="DAD50" s="45"/>
      <c r="DAE50" s="45"/>
      <c r="DAF50" s="45"/>
      <c r="DAG50" s="45"/>
      <c r="DAH50" s="45"/>
      <c r="DAI50" s="45"/>
      <c r="DAJ50" s="45"/>
      <c r="DAK50" s="45"/>
      <c r="DAL50" s="45"/>
      <c r="DAM50" s="45"/>
      <c r="DAN50" s="45"/>
      <c r="DAO50" s="45"/>
      <c r="DAP50" s="45"/>
      <c r="DAQ50" s="45"/>
      <c r="DAR50" s="45"/>
      <c r="DAS50" s="45"/>
      <c r="DAT50" s="45"/>
      <c r="DAU50" s="45"/>
      <c r="DAV50" s="45"/>
      <c r="DAW50" s="45"/>
      <c r="DAX50" s="45"/>
      <c r="DAY50" s="45"/>
      <c r="DAZ50" s="45"/>
      <c r="DBA50" s="45"/>
      <c r="DBB50" s="45"/>
      <c r="DBC50" s="45"/>
      <c r="DBD50" s="45"/>
      <c r="DBE50" s="45"/>
      <c r="DBF50" s="45"/>
      <c r="DBG50" s="45"/>
      <c r="DBH50" s="45"/>
      <c r="DBI50" s="45"/>
      <c r="DBJ50" s="45"/>
      <c r="DBK50" s="45"/>
      <c r="DBL50" s="45"/>
      <c r="DBM50" s="45"/>
      <c r="DBN50" s="45"/>
      <c r="DBO50" s="45"/>
      <c r="DBP50" s="45"/>
      <c r="DBQ50" s="45"/>
      <c r="DBR50" s="45"/>
      <c r="DBS50" s="45"/>
      <c r="DBT50" s="45"/>
      <c r="DBU50" s="45"/>
      <c r="DBV50" s="45"/>
      <c r="DBW50" s="45"/>
      <c r="DBX50" s="45"/>
      <c r="DBY50" s="45"/>
      <c r="DBZ50" s="45"/>
      <c r="DCA50" s="45"/>
      <c r="DCB50" s="45"/>
      <c r="DCC50" s="45"/>
      <c r="DCD50" s="45"/>
      <c r="DCE50" s="45"/>
      <c r="DCF50" s="45"/>
      <c r="DCG50" s="45"/>
      <c r="DCH50" s="45"/>
      <c r="DCI50" s="45"/>
      <c r="DCJ50" s="45"/>
      <c r="DCK50" s="45"/>
      <c r="DCL50" s="45"/>
      <c r="DCM50" s="45"/>
      <c r="DCN50" s="45"/>
      <c r="DCO50" s="45"/>
      <c r="DCP50" s="45"/>
      <c r="DCQ50" s="45"/>
      <c r="DCR50" s="45"/>
      <c r="DCS50" s="45"/>
      <c r="DCT50" s="45"/>
      <c r="DCU50" s="45"/>
      <c r="DCV50" s="45"/>
      <c r="DCW50" s="45"/>
      <c r="DCX50" s="45"/>
      <c r="DCY50" s="45"/>
      <c r="DCZ50" s="45"/>
      <c r="DDA50" s="45"/>
      <c r="DDB50" s="45"/>
      <c r="DDC50" s="45"/>
      <c r="DDD50" s="45"/>
      <c r="DDE50" s="45"/>
      <c r="DDF50" s="45"/>
      <c r="DDG50" s="45"/>
      <c r="DDH50" s="45"/>
      <c r="DDI50" s="45"/>
      <c r="DDJ50" s="45"/>
      <c r="DDK50" s="45"/>
      <c r="DDL50" s="45"/>
      <c r="DDM50" s="45"/>
      <c r="DDN50" s="45"/>
      <c r="DDO50" s="45"/>
      <c r="DDP50" s="45"/>
      <c r="DDQ50" s="45"/>
      <c r="DDR50" s="45"/>
      <c r="DDS50" s="45"/>
      <c r="DDT50" s="45"/>
      <c r="DDU50" s="45"/>
      <c r="DDV50" s="45"/>
      <c r="DDW50" s="45"/>
      <c r="DDX50" s="45"/>
      <c r="DDY50" s="45"/>
      <c r="DDZ50" s="45"/>
      <c r="DEA50" s="45"/>
      <c r="DEB50" s="45"/>
      <c r="DEC50" s="45"/>
      <c r="DED50" s="45"/>
      <c r="DEE50" s="45"/>
      <c r="DEF50" s="45"/>
      <c r="DEG50" s="45"/>
      <c r="DEH50" s="45"/>
      <c r="DEI50" s="45"/>
      <c r="DEJ50" s="45"/>
      <c r="DEK50" s="45"/>
      <c r="DEL50" s="45"/>
      <c r="DEM50" s="45"/>
      <c r="DEN50" s="45"/>
      <c r="DEO50" s="45"/>
      <c r="DEP50" s="45"/>
      <c r="DEQ50" s="45"/>
      <c r="DER50" s="45"/>
      <c r="DES50" s="45"/>
      <c r="DET50" s="45"/>
      <c r="DEU50" s="45"/>
      <c r="DEV50" s="45"/>
      <c r="DEW50" s="45"/>
      <c r="DEX50" s="45"/>
      <c r="DEY50" s="45"/>
      <c r="DEZ50" s="45"/>
      <c r="DFA50" s="45"/>
      <c r="DFB50" s="45"/>
      <c r="DFC50" s="45"/>
      <c r="DFD50" s="45"/>
      <c r="DFE50" s="45"/>
      <c r="DFF50" s="45"/>
      <c r="DFG50" s="45"/>
      <c r="DFH50" s="45"/>
      <c r="DFI50" s="45"/>
      <c r="DFJ50" s="45"/>
      <c r="DFK50" s="45"/>
      <c r="DFL50" s="45"/>
      <c r="DFM50" s="45"/>
      <c r="DFN50" s="45"/>
      <c r="DFO50" s="45"/>
      <c r="DFP50" s="45"/>
      <c r="DFQ50" s="45"/>
      <c r="DFR50" s="45"/>
      <c r="DFS50" s="45"/>
      <c r="DFT50" s="45"/>
      <c r="DFU50" s="45"/>
      <c r="DFV50" s="45"/>
      <c r="DFW50" s="45"/>
      <c r="DFX50" s="45"/>
      <c r="DFY50" s="45"/>
      <c r="DFZ50" s="45"/>
      <c r="DGA50" s="45"/>
      <c r="DGB50" s="45"/>
      <c r="DGC50" s="45"/>
      <c r="DGD50" s="45"/>
      <c r="DGE50" s="45"/>
      <c r="DGF50" s="45"/>
      <c r="DGG50" s="45"/>
      <c r="DGH50" s="45"/>
      <c r="DGI50" s="45"/>
      <c r="DGJ50" s="45"/>
      <c r="DGK50" s="45"/>
      <c r="DGL50" s="45"/>
      <c r="DGM50" s="45"/>
      <c r="DGN50" s="45"/>
      <c r="DGO50" s="45"/>
      <c r="DGP50" s="45"/>
      <c r="DGQ50" s="45"/>
      <c r="DGR50" s="45"/>
      <c r="DGS50" s="45"/>
      <c r="DGT50" s="45"/>
      <c r="DGU50" s="45"/>
      <c r="DGV50" s="45"/>
      <c r="DGW50" s="45"/>
      <c r="DGX50" s="45"/>
      <c r="DGY50" s="45"/>
      <c r="DGZ50" s="45"/>
      <c r="DHA50" s="45"/>
      <c r="DHB50" s="45"/>
      <c r="DHC50" s="45"/>
      <c r="DHD50" s="45"/>
      <c r="DHE50" s="45"/>
      <c r="DHF50" s="45"/>
      <c r="DHG50" s="45"/>
      <c r="DHH50" s="45"/>
      <c r="DHI50" s="45"/>
      <c r="DHJ50" s="45"/>
      <c r="DHK50" s="45"/>
      <c r="DHL50" s="45"/>
      <c r="DHM50" s="45"/>
      <c r="DHN50" s="45"/>
      <c r="DHO50" s="45"/>
      <c r="DHP50" s="45"/>
      <c r="DHQ50" s="45"/>
      <c r="DHR50" s="45"/>
      <c r="DHS50" s="45"/>
      <c r="DHT50" s="45"/>
      <c r="DHU50" s="45"/>
      <c r="DHV50" s="45"/>
      <c r="DHW50" s="45"/>
      <c r="DHX50" s="45"/>
      <c r="DHY50" s="45"/>
      <c r="DHZ50" s="45"/>
      <c r="DIA50" s="45"/>
      <c r="DIB50" s="45"/>
      <c r="DIC50" s="45"/>
      <c r="DID50" s="45"/>
      <c r="DIE50" s="45"/>
      <c r="DIF50" s="45"/>
      <c r="DIG50" s="45"/>
      <c r="DIH50" s="45"/>
      <c r="DII50" s="45"/>
      <c r="DIJ50" s="45"/>
      <c r="DIK50" s="45"/>
      <c r="DIL50" s="45"/>
      <c r="DIM50" s="45"/>
      <c r="DIN50" s="45"/>
      <c r="DIO50" s="45"/>
      <c r="DIP50" s="45"/>
      <c r="DIQ50" s="45"/>
      <c r="DIR50" s="45"/>
      <c r="DIS50" s="45"/>
      <c r="DIT50" s="45"/>
      <c r="DIU50" s="45"/>
      <c r="DIV50" s="45"/>
      <c r="DIW50" s="45"/>
      <c r="DIX50" s="45"/>
      <c r="DIY50" s="45"/>
      <c r="DIZ50" s="45"/>
      <c r="DJA50" s="45"/>
      <c r="DJB50" s="45"/>
      <c r="DJC50" s="45"/>
      <c r="DJD50" s="45"/>
      <c r="DJE50" s="45"/>
      <c r="DJF50" s="45"/>
      <c r="DJG50" s="45"/>
      <c r="DJH50" s="45"/>
      <c r="DJI50" s="45"/>
      <c r="DJJ50" s="45"/>
      <c r="DJK50" s="45"/>
      <c r="DJL50" s="45"/>
      <c r="DJM50" s="45"/>
      <c r="DJN50" s="45"/>
      <c r="DJO50" s="45"/>
      <c r="DJP50" s="45"/>
      <c r="DJQ50" s="45"/>
      <c r="DJR50" s="45"/>
      <c r="DJS50" s="45"/>
      <c r="DJT50" s="45"/>
      <c r="DJU50" s="45"/>
      <c r="DJV50" s="45"/>
      <c r="DJW50" s="45"/>
      <c r="DJX50" s="45"/>
      <c r="DJY50" s="45"/>
      <c r="DJZ50" s="45"/>
      <c r="DKA50" s="45"/>
      <c r="DKB50" s="45"/>
      <c r="DKC50" s="45"/>
      <c r="DKD50" s="45"/>
      <c r="DKE50" s="45"/>
      <c r="DKF50" s="45"/>
      <c r="DKG50" s="45"/>
      <c r="DKH50" s="45"/>
      <c r="DKI50" s="45"/>
      <c r="DKJ50" s="45"/>
      <c r="DKK50" s="45"/>
      <c r="DKL50" s="45"/>
      <c r="DKM50" s="45"/>
      <c r="DKN50" s="45"/>
      <c r="DKO50" s="45"/>
      <c r="DKP50" s="45"/>
      <c r="DKQ50" s="45"/>
      <c r="DKR50" s="45"/>
      <c r="DKS50" s="45"/>
      <c r="DKT50" s="45"/>
      <c r="DKU50" s="45"/>
      <c r="DKV50" s="45"/>
      <c r="DKW50" s="45"/>
      <c r="DKX50" s="45"/>
      <c r="DKY50" s="45"/>
      <c r="DKZ50" s="45"/>
      <c r="DLA50" s="45"/>
      <c r="DLB50" s="45"/>
      <c r="DLC50" s="45"/>
      <c r="DLD50" s="45"/>
      <c r="DLE50" s="45"/>
      <c r="DLF50" s="45"/>
      <c r="DLG50" s="45"/>
      <c r="DLH50" s="45"/>
      <c r="DLI50" s="45"/>
      <c r="DLJ50" s="45"/>
      <c r="DLK50" s="45"/>
      <c r="DLL50" s="45"/>
      <c r="DLM50" s="45"/>
      <c r="DLN50" s="45"/>
      <c r="DLO50" s="45"/>
      <c r="DLP50" s="45"/>
      <c r="DLQ50" s="45"/>
      <c r="DLR50" s="45"/>
      <c r="DLS50" s="45"/>
      <c r="DLT50" s="45"/>
      <c r="DLU50" s="45"/>
      <c r="DLV50" s="45"/>
      <c r="DLW50" s="45"/>
      <c r="DLX50" s="45"/>
      <c r="DLY50" s="45"/>
      <c r="DLZ50" s="45"/>
      <c r="DMA50" s="45"/>
      <c r="DMB50" s="45"/>
      <c r="DMC50" s="45"/>
      <c r="DMD50" s="45"/>
      <c r="DME50" s="45"/>
      <c r="DMF50" s="45"/>
      <c r="DMG50" s="45"/>
      <c r="DMH50" s="45"/>
      <c r="DMI50" s="45"/>
      <c r="DMJ50" s="45"/>
      <c r="DMK50" s="45"/>
      <c r="DML50" s="45"/>
      <c r="DMM50" s="45"/>
      <c r="DMN50" s="45"/>
      <c r="DMO50" s="45"/>
      <c r="DMP50" s="45"/>
      <c r="DMQ50" s="45"/>
      <c r="DMR50" s="45"/>
      <c r="DMS50" s="45"/>
      <c r="DMT50" s="45"/>
      <c r="DMU50" s="45"/>
      <c r="DMV50" s="45"/>
      <c r="DMW50" s="45"/>
      <c r="DMX50" s="45"/>
      <c r="DMY50" s="45"/>
      <c r="DMZ50" s="45"/>
      <c r="DNA50" s="45"/>
      <c r="DNB50" s="45"/>
      <c r="DNC50" s="45"/>
      <c r="DND50" s="45"/>
      <c r="DNE50" s="45"/>
      <c r="DNF50" s="45"/>
      <c r="DNG50" s="45"/>
      <c r="DNH50" s="45"/>
      <c r="DNI50" s="45"/>
      <c r="DNJ50" s="45"/>
      <c r="DNK50" s="45"/>
      <c r="DNL50" s="45"/>
      <c r="DNM50" s="45"/>
      <c r="DNN50" s="45"/>
      <c r="DNO50" s="45"/>
      <c r="DNP50" s="45"/>
      <c r="DNQ50" s="45"/>
      <c r="DNR50" s="45"/>
      <c r="DNS50" s="45"/>
      <c r="DNT50" s="45"/>
      <c r="DNU50" s="45"/>
      <c r="DNV50" s="45"/>
      <c r="DNW50" s="45"/>
      <c r="DNX50" s="45"/>
      <c r="DNY50" s="45"/>
      <c r="DNZ50" s="45"/>
      <c r="DOA50" s="45"/>
      <c r="DOB50" s="45"/>
      <c r="DOC50" s="45"/>
      <c r="DOD50" s="45"/>
      <c r="DOE50" s="45"/>
      <c r="DOF50" s="45"/>
      <c r="DOG50" s="45"/>
      <c r="DOH50" s="45"/>
      <c r="DOI50" s="45"/>
      <c r="DOJ50" s="45"/>
      <c r="DOK50" s="45"/>
      <c r="DOL50" s="45"/>
      <c r="DOM50" s="45"/>
      <c r="DON50" s="45"/>
      <c r="DOO50" s="45"/>
      <c r="DOP50" s="45"/>
      <c r="DOQ50" s="45"/>
      <c r="DOR50" s="45"/>
      <c r="DOS50" s="45"/>
      <c r="DOT50" s="45"/>
      <c r="DOU50" s="45"/>
      <c r="DOV50" s="45"/>
      <c r="DOW50" s="45"/>
      <c r="DOX50" s="45"/>
      <c r="DOY50" s="45"/>
      <c r="DOZ50" s="45"/>
      <c r="DPA50" s="45"/>
      <c r="DPB50" s="45"/>
      <c r="DPC50" s="45"/>
      <c r="DPD50" s="45"/>
      <c r="DPE50" s="45"/>
      <c r="DPF50" s="45"/>
      <c r="DPG50" s="45"/>
      <c r="DPH50" s="45"/>
      <c r="DPI50" s="45"/>
      <c r="DPJ50" s="45"/>
      <c r="DPK50" s="45"/>
      <c r="DPL50" s="45"/>
      <c r="DPM50" s="45"/>
      <c r="DPN50" s="45"/>
      <c r="DPO50" s="45"/>
      <c r="DPP50" s="45"/>
      <c r="DPQ50" s="45"/>
      <c r="DPR50" s="45"/>
      <c r="DPS50" s="45"/>
      <c r="DPT50" s="45"/>
      <c r="DPU50" s="45"/>
      <c r="DPV50" s="45"/>
      <c r="DPW50" s="45"/>
      <c r="DPX50" s="45"/>
      <c r="DPY50" s="45"/>
      <c r="DPZ50" s="45"/>
      <c r="DQA50" s="45"/>
      <c r="DQB50" s="45"/>
      <c r="DQC50" s="45"/>
      <c r="DQD50" s="45"/>
      <c r="DQE50" s="45"/>
      <c r="DQF50" s="45"/>
      <c r="DQG50" s="45"/>
      <c r="DQH50" s="45"/>
      <c r="DQI50" s="45"/>
      <c r="DQJ50" s="45"/>
      <c r="DQK50" s="45"/>
      <c r="DQL50" s="45"/>
      <c r="DQM50" s="45"/>
      <c r="DQN50" s="45"/>
      <c r="DQO50" s="45"/>
      <c r="DQP50" s="45"/>
      <c r="DQQ50" s="45"/>
      <c r="DQR50" s="45"/>
      <c r="DQS50" s="45"/>
      <c r="DQT50" s="45"/>
      <c r="DQU50" s="45"/>
      <c r="DQV50" s="45"/>
      <c r="DQW50" s="45"/>
      <c r="DQX50" s="45"/>
      <c r="DQY50" s="45"/>
      <c r="DQZ50" s="45"/>
      <c r="DRA50" s="45"/>
      <c r="DRB50" s="45"/>
      <c r="DRC50" s="45"/>
      <c r="DRD50" s="45"/>
      <c r="DRE50" s="45"/>
      <c r="DRF50" s="45"/>
      <c r="DRG50" s="45"/>
      <c r="DRH50" s="45"/>
      <c r="DRI50" s="45"/>
      <c r="DRJ50" s="45"/>
      <c r="DRK50" s="45"/>
      <c r="DRL50" s="45"/>
      <c r="DRM50" s="45"/>
      <c r="DRN50" s="45"/>
      <c r="DRO50" s="45"/>
      <c r="DRP50" s="45"/>
      <c r="DRQ50" s="45"/>
      <c r="DRR50" s="45"/>
      <c r="DRS50" s="45"/>
      <c r="DRT50" s="45"/>
      <c r="DRU50" s="45"/>
      <c r="DRV50" s="45"/>
      <c r="DRW50" s="45"/>
      <c r="DRX50" s="45"/>
      <c r="DRY50" s="45"/>
      <c r="DRZ50" s="45"/>
      <c r="DSA50" s="45"/>
      <c r="DSB50" s="45"/>
      <c r="DSC50" s="45"/>
      <c r="DSD50" s="45"/>
      <c r="DSE50" s="45"/>
      <c r="DSF50" s="45"/>
      <c r="DSG50" s="45"/>
      <c r="DSH50" s="45"/>
      <c r="DSI50" s="45"/>
      <c r="DSJ50" s="45"/>
      <c r="DSK50" s="45"/>
      <c r="DSL50" s="45"/>
      <c r="DSM50" s="45"/>
      <c r="DSN50" s="45"/>
      <c r="DSO50" s="45"/>
      <c r="DSP50" s="45"/>
      <c r="DSQ50" s="45"/>
      <c r="DSR50" s="45"/>
      <c r="DSS50" s="45"/>
      <c r="DST50" s="45"/>
      <c r="DSU50" s="45"/>
      <c r="DSV50" s="45"/>
      <c r="DSW50" s="45"/>
      <c r="DSX50" s="45"/>
      <c r="DSY50" s="45"/>
      <c r="DSZ50" s="45"/>
      <c r="DTA50" s="45"/>
      <c r="DTB50" s="45"/>
      <c r="DTC50" s="45"/>
      <c r="DTD50" s="45"/>
      <c r="DTE50" s="45"/>
      <c r="DTF50" s="45"/>
      <c r="DTG50" s="45"/>
      <c r="DTH50" s="45"/>
      <c r="DTI50" s="45"/>
      <c r="DTJ50" s="45"/>
      <c r="DTK50" s="45"/>
      <c r="DTL50" s="45"/>
      <c r="DTM50" s="45"/>
      <c r="DTN50" s="45"/>
      <c r="DTO50" s="45"/>
      <c r="DTP50" s="45"/>
      <c r="DTQ50" s="45"/>
      <c r="DTR50" s="45"/>
      <c r="DTS50" s="45"/>
      <c r="DTT50" s="45"/>
      <c r="DTU50" s="45"/>
      <c r="DTV50" s="45"/>
      <c r="DTW50" s="45"/>
      <c r="DTX50" s="45"/>
      <c r="DTY50" s="45"/>
      <c r="DTZ50" s="45"/>
      <c r="DUA50" s="45"/>
      <c r="DUB50" s="45"/>
      <c r="DUC50" s="45"/>
      <c r="DUD50" s="45"/>
      <c r="DUE50" s="45"/>
      <c r="DUF50" s="45"/>
      <c r="DUG50" s="45"/>
      <c r="DUH50" s="45"/>
      <c r="DUI50" s="45"/>
      <c r="DUJ50" s="45"/>
      <c r="DUK50" s="45"/>
      <c r="DUL50" s="45"/>
      <c r="DUM50" s="45"/>
      <c r="DUN50" s="45"/>
      <c r="DUO50" s="45"/>
      <c r="DUP50" s="45"/>
      <c r="DUQ50" s="45"/>
      <c r="DUR50" s="45"/>
      <c r="DUS50" s="45"/>
      <c r="DUT50" s="45"/>
      <c r="DUU50" s="45"/>
      <c r="DUV50" s="45"/>
      <c r="DUW50" s="45"/>
      <c r="DUX50" s="45"/>
      <c r="DUY50" s="45"/>
      <c r="DUZ50" s="45"/>
      <c r="DVA50" s="45"/>
      <c r="DVB50" s="45"/>
      <c r="DVC50" s="45"/>
      <c r="DVD50" s="45"/>
      <c r="DVE50" s="45"/>
      <c r="DVF50" s="45"/>
      <c r="DVG50" s="45"/>
      <c r="DVH50" s="45"/>
      <c r="DVI50" s="45"/>
      <c r="DVJ50" s="45"/>
      <c r="DVK50" s="45"/>
      <c r="DVL50" s="45"/>
      <c r="DVM50" s="45"/>
      <c r="DVN50" s="45"/>
      <c r="DVO50" s="45"/>
      <c r="DVP50" s="45"/>
      <c r="DVQ50" s="45"/>
      <c r="DVR50" s="45"/>
      <c r="DVS50" s="45"/>
      <c r="DVT50" s="45"/>
      <c r="DVU50" s="45"/>
      <c r="DVV50" s="45"/>
      <c r="DVW50" s="45"/>
      <c r="DVX50" s="45"/>
      <c r="DVY50" s="45"/>
      <c r="DVZ50" s="45"/>
      <c r="DWA50" s="45"/>
      <c r="DWB50" s="45"/>
      <c r="DWC50" s="45"/>
      <c r="DWD50" s="45"/>
      <c r="DWE50" s="45"/>
      <c r="DWF50" s="45"/>
      <c r="DWG50" s="45"/>
      <c r="DWH50" s="45"/>
      <c r="DWI50" s="45"/>
      <c r="DWJ50" s="45"/>
      <c r="DWK50" s="45"/>
      <c r="DWL50" s="45"/>
      <c r="DWM50" s="45"/>
      <c r="DWN50" s="45"/>
      <c r="DWO50" s="45"/>
      <c r="DWP50" s="45"/>
      <c r="DWQ50" s="45"/>
      <c r="DWR50" s="45"/>
      <c r="DWS50" s="45"/>
      <c r="DWT50" s="45"/>
      <c r="DWU50" s="45"/>
      <c r="DWV50" s="45"/>
      <c r="DWW50" s="45"/>
      <c r="DWX50" s="45"/>
      <c r="DWY50" s="45"/>
      <c r="DWZ50" s="45"/>
      <c r="DXA50" s="45"/>
      <c r="DXB50" s="45"/>
      <c r="DXC50" s="45"/>
      <c r="DXD50" s="45"/>
      <c r="DXE50" s="45"/>
      <c r="DXF50" s="45"/>
      <c r="DXG50" s="45"/>
      <c r="DXH50" s="45"/>
      <c r="DXI50" s="45"/>
      <c r="DXJ50" s="45"/>
      <c r="DXK50" s="45"/>
      <c r="DXL50" s="45"/>
      <c r="DXM50" s="45"/>
      <c r="DXN50" s="45"/>
      <c r="DXO50" s="45"/>
      <c r="DXP50" s="45"/>
      <c r="DXQ50" s="45"/>
      <c r="DXR50" s="45"/>
      <c r="DXS50" s="45"/>
      <c r="DXT50" s="45"/>
      <c r="DXU50" s="45"/>
      <c r="DXV50" s="45"/>
      <c r="DXW50" s="45"/>
      <c r="DXX50" s="45"/>
      <c r="DXY50" s="45"/>
      <c r="DXZ50" s="45"/>
      <c r="DYA50" s="45"/>
      <c r="DYB50" s="45"/>
      <c r="DYC50" s="45"/>
      <c r="DYD50" s="45"/>
      <c r="DYE50" s="45"/>
      <c r="DYF50" s="45"/>
      <c r="DYG50" s="45"/>
      <c r="DYH50" s="45"/>
      <c r="DYI50" s="45"/>
      <c r="DYJ50" s="45"/>
      <c r="DYK50" s="45"/>
      <c r="DYL50" s="45"/>
      <c r="DYM50" s="45"/>
      <c r="DYN50" s="45"/>
      <c r="DYO50" s="45"/>
      <c r="DYP50" s="45"/>
      <c r="DYQ50" s="45"/>
      <c r="DYR50" s="45"/>
      <c r="DYS50" s="45"/>
      <c r="DYT50" s="45"/>
      <c r="DYU50" s="45"/>
      <c r="DYV50" s="45"/>
      <c r="DYW50" s="45"/>
      <c r="DYX50" s="45"/>
      <c r="DYY50" s="45"/>
      <c r="DYZ50" s="45"/>
      <c r="DZA50" s="45"/>
      <c r="DZB50" s="45"/>
      <c r="DZC50" s="45"/>
      <c r="DZD50" s="45"/>
      <c r="DZE50" s="45"/>
      <c r="DZF50" s="45"/>
      <c r="DZG50" s="45"/>
      <c r="DZH50" s="45"/>
      <c r="DZI50" s="45"/>
      <c r="DZJ50" s="45"/>
      <c r="DZK50" s="45"/>
      <c r="DZL50" s="45"/>
      <c r="DZM50" s="45"/>
      <c r="DZN50" s="45"/>
      <c r="DZO50" s="45"/>
      <c r="DZP50" s="45"/>
      <c r="DZQ50" s="45"/>
      <c r="DZR50" s="45"/>
      <c r="DZS50" s="45"/>
      <c r="DZT50" s="45"/>
      <c r="DZU50" s="45"/>
      <c r="DZV50" s="45"/>
      <c r="DZW50" s="45"/>
      <c r="DZX50" s="45"/>
      <c r="DZY50" s="45"/>
      <c r="DZZ50" s="45"/>
      <c r="EAA50" s="45"/>
      <c r="EAB50" s="45"/>
      <c r="EAC50" s="45"/>
      <c r="EAD50" s="45"/>
      <c r="EAE50" s="45"/>
      <c r="EAF50" s="45"/>
      <c r="EAG50" s="45"/>
      <c r="EAH50" s="45"/>
      <c r="EAI50" s="45"/>
      <c r="EAJ50" s="45"/>
      <c r="EAK50" s="45"/>
      <c r="EAL50" s="45"/>
      <c r="EAM50" s="45"/>
      <c r="EAN50" s="45"/>
      <c r="EAO50" s="45"/>
      <c r="EAP50" s="45"/>
      <c r="EAQ50" s="45"/>
      <c r="EAR50" s="45"/>
      <c r="EAS50" s="45"/>
      <c r="EAT50" s="45"/>
      <c r="EAU50" s="45"/>
      <c r="EAV50" s="45"/>
      <c r="EAW50" s="45"/>
      <c r="EAX50" s="45"/>
      <c r="EAY50" s="45"/>
      <c r="EAZ50" s="45"/>
      <c r="EBA50" s="45"/>
      <c r="EBB50" s="45"/>
      <c r="EBC50" s="45"/>
      <c r="EBD50" s="45"/>
      <c r="EBE50" s="45"/>
      <c r="EBF50" s="45"/>
      <c r="EBG50" s="45"/>
      <c r="EBH50" s="45"/>
      <c r="EBI50" s="45"/>
      <c r="EBJ50" s="45"/>
      <c r="EBK50" s="45"/>
      <c r="EBL50" s="45"/>
      <c r="EBM50" s="45"/>
      <c r="EBN50" s="45"/>
      <c r="EBO50" s="45"/>
      <c r="EBP50" s="45"/>
      <c r="EBQ50" s="45"/>
      <c r="EBR50" s="45"/>
      <c r="EBS50" s="45"/>
      <c r="EBT50" s="45"/>
      <c r="EBU50" s="45"/>
      <c r="EBV50" s="45"/>
      <c r="EBW50" s="45"/>
      <c r="EBX50" s="45"/>
      <c r="EBY50" s="45"/>
      <c r="EBZ50" s="45"/>
      <c r="ECA50" s="45"/>
      <c r="ECB50" s="45"/>
      <c r="ECC50" s="45"/>
      <c r="ECD50" s="45"/>
      <c r="ECE50" s="45"/>
      <c r="ECF50" s="45"/>
      <c r="ECG50" s="45"/>
      <c r="ECH50" s="45"/>
      <c r="ECI50" s="45"/>
      <c r="ECJ50" s="45"/>
      <c r="ECK50" s="45"/>
      <c r="ECL50" s="45"/>
      <c r="ECM50" s="45"/>
      <c r="ECN50" s="45"/>
      <c r="ECO50" s="45"/>
      <c r="ECP50" s="45"/>
      <c r="ECQ50" s="45"/>
      <c r="ECR50" s="45"/>
      <c r="ECS50" s="45"/>
      <c r="ECT50" s="45"/>
      <c r="ECU50" s="45"/>
      <c r="ECV50" s="45"/>
      <c r="ECW50" s="45"/>
      <c r="ECX50" s="45"/>
      <c r="ECY50" s="45"/>
      <c r="ECZ50" s="45"/>
      <c r="EDA50" s="45"/>
      <c r="EDB50" s="45"/>
      <c r="EDC50" s="45"/>
      <c r="EDD50" s="45"/>
      <c r="EDE50" s="45"/>
      <c r="EDF50" s="45"/>
      <c r="EDG50" s="45"/>
      <c r="EDH50" s="45"/>
      <c r="EDI50" s="45"/>
      <c r="EDJ50" s="45"/>
      <c r="EDK50" s="45"/>
      <c r="EDL50" s="45"/>
      <c r="EDM50" s="45"/>
      <c r="EDN50" s="45"/>
      <c r="EDO50" s="45"/>
      <c r="EDP50" s="45"/>
      <c r="EDQ50" s="45"/>
      <c r="EDR50" s="45"/>
      <c r="EDS50" s="45"/>
      <c r="EDT50" s="45"/>
      <c r="EDU50" s="45"/>
      <c r="EDV50" s="45"/>
      <c r="EDW50" s="45"/>
      <c r="EDX50" s="45"/>
      <c r="EDY50" s="45"/>
      <c r="EDZ50" s="45"/>
      <c r="EEA50" s="45"/>
      <c r="EEB50" s="45"/>
      <c r="EEC50" s="45"/>
      <c r="EED50" s="45"/>
      <c r="EEE50" s="45"/>
      <c r="EEF50" s="45"/>
      <c r="EEG50" s="45"/>
      <c r="EEH50" s="45"/>
      <c r="EEI50" s="45"/>
      <c r="EEJ50" s="45"/>
      <c r="EEK50" s="45"/>
      <c r="EEL50" s="45"/>
      <c r="EEM50" s="45"/>
      <c r="EEN50" s="45"/>
      <c r="EEO50" s="45"/>
      <c r="EEP50" s="45"/>
      <c r="EEQ50" s="45"/>
      <c r="EER50" s="45"/>
      <c r="EES50" s="45"/>
      <c r="EET50" s="45"/>
      <c r="EEU50" s="45"/>
      <c r="EEV50" s="45"/>
      <c r="EEW50" s="45"/>
      <c r="EEX50" s="45"/>
      <c r="EEY50" s="45"/>
      <c r="EEZ50" s="45"/>
      <c r="EFA50" s="45"/>
      <c r="EFB50" s="45"/>
      <c r="EFC50" s="45"/>
      <c r="EFD50" s="45"/>
      <c r="EFE50" s="45"/>
      <c r="EFF50" s="45"/>
      <c r="EFG50" s="45"/>
      <c r="EFH50" s="45"/>
      <c r="EFI50" s="45"/>
      <c r="EFJ50" s="45"/>
      <c r="EFK50" s="45"/>
      <c r="EFL50" s="45"/>
      <c r="EFM50" s="45"/>
      <c r="EFN50" s="45"/>
      <c r="EFO50" s="45"/>
      <c r="EFP50" s="45"/>
      <c r="EFQ50" s="45"/>
      <c r="EFR50" s="45"/>
      <c r="EFS50" s="45"/>
      <c r="EFT50" s="45"/>
      <c r="EFU50" s="45"/>
      <c r="EFV50" s="45"/>
      <c r="EFW50" s="45"/>
      <c r="EFX50" s="45"/>
      <c r="EFY50" s="45"/>
      <c r="EFZ50" s="45"/>
      <c r="EGA50" s="45"/>
      <c r="EGB50" s="45"/>
      <c r="EGC50" s="45"/>
      <c r="EGD50" s="45"/>
      <c r="EGE50" s="45"/>
      <c r="EGF50" s="45"/>
      <c r="EGG50" s="45"/>
      <c r="EGH50" s="45"/>
      <c r="EGI50" s="45"/>
      <c r="EGJ50" s="45"/>
      <c r="EGK50" s="45"/>
      <c r="EGL50" s="45"/>
      <c r="EGM50" s="45"/>
      <c r="EGN50" s="45"/>
      <c r="EGO50" s="45"/>
      <c r="EGP50" s="45"/>
      <c r="EGQ50" s="45"/>
      <c r="EGR50" s="45"/>
      <c r="EGS50" s="45"/>
      <c r="EGT50" s="45"/>
      <c r="EGU50" s="45"/>
      <c r="EGV50" s="45"/>
      <c r="EGW50" s="45"/>
      <c r="EGX50" s="45"/>
      <c r="EGY50" s="45"/>
      <c r="EGZ50" s="45"/>
      <c r="EHA50" s="45"/>
      <c r="EHB50" s="45"/>
      <c r="EHC50" s="45"/>
      <c r="EHD50" s="45"/>
      <c r="EHE50" s="45"/>
      <c r="EHF50" s="45"/>
      <c r="EHG50" s="45"/>
      <c r="EHH50" s="45"/>
      <c r="EHI50" s="45"/>
      <c r="EHJ50" s="45"/>
      <c r="EHK50" s="45"/>
      <c r="EHL50" s="45"/>
      <c r="EHM50" s="45"/>
      <c r="EHN50" s="45"/>
      <c r="EHO50" s="45"/>
      <c r="EHP50" s="45"/>
      <c r="EHQ50" s="45"/>
      <c r="EHR50" s="45"/>
      <c r="EHS50" s="45"/>
      <c r="EHT50" s="45"/>
      <c r="EHU50" s="45"/>
      <c r="EHV50" s="45"/>
      <c r="EHW50" s="45"/>
      <c r="EHX50" s="45"/>
      <c r="EHY50" s="45"/>
      <c r="EHZ50" s="45"/>
      <c r="EIA50" s="45"/>
      <c r="EIB50" s="45"/>
      <c r="EIC50" s="45"/>
      <c r="EID50" s="45"/>
      <c r="EIE50" s="45"/>
      <c r="EIF50" s="45"/>
      <c r="EIG50" s="45"/>
      <c r="EIH50" s="45"/>
      <c r="EII50" s="45"/>
      <c r="EIJ50" s="45"/>
      <c r="EIK50" s="45"/>
      <c r="EIL50" s="45"/>
      <c r="EIM50" s="45"/>
      <c r="EIN50" s="45"/>
      <c r="EIO50" s="45"/>
      <c r="EIP50" s="45"/>
      <c r="EIQ50" s="45"/>
      <c r="EIR50" s="45"/>
      <c r="EIS50" s="45"/>
      <c r="EIT50" s="45"/>
      <c r="EIU50" s="45"/>
      <c r="EIV50" s="45"/>
      <c r="EIW50" s="45"/>
      <c r="EIX50" s="45"/>
      <c r="EIY50" s="45"/>
      <c r="EIZ50" s="45"/>
      <c r="EJA50" s="45"/>
      <c r="EJB50" s="45"/>
      <c r="EJC50" s="45"/>
      <c r="EJD50" s="45"/>
      <c r="EJE50" s="45"/>
      <c r="EJF50" s="45"/>
      <c r="EJG50" s="45"/>
      <c r="EJH50" s="45"/>
      <c r="EJI50" s="45"/>
      <c r="EJJ50" s="45"/>
      <c r="EJK50" s="45"/>
      <c r="EJL50" s="45"/>
      <c r="EJM50" s="45"/>
      <c r="EJN50" s="45"/>
      <c r="EJO50" s="45"/>
      <c r="EJP50" s="45"/>
      <c r="EJQ50" s="45"/>
      <c r="EJR50" s="45"/>
      <c r="EJS50" s="45"/>
      <c r="EJT50" s="45"/>
      <c r="EJU50" s="45"/>
      <c r="EJV50" s="45"/>
      <c r="EJW50" s="45"/>
      <c r="EJX50" s="45"/>
      <c r="EJY50" s="45"/>
      <c r="EJZ50" s="45"/>
      <c r="EKA50" s="45"/>
      <c r="EKB50" s="45"/>
      <c r="EKC50" s="45"/>
      <c r="EKD50" s="45"/>
      <c r="EKE50" s="45"/>
      <c r="EKF50" s="45"/>
      <c r="EKG50" s="45"/>
      <c r="EKH50" s="45"/>
      <c r="EKI50" s="45"/>
      <c r="EKJ50" s="45"/>
      <c r="EKK50" s="45"/>
      <c r="EKL50" s="45"/>
      <c r="EKM50" s="45"/>
      <c r="EKN50" s="45"/>
      <c r="EKO50" s="45"/>
      <c r="EKP50" s="45"/>
      <c r="EKQ50" s="45"/>
      <c r="EKR50" s="45"/>
      <c r="EKS50" s="45"/>
      <c r="EKT50" s="45"/>
      <c r="EKU50" s="45"/>
      <c r="EKV50" s="45"/>
      <c r="EKW50" s="45"/>
      <c r="EKX50" s="45"/>
      <c r="EKY50" s="45"/>
      <c r="EKZ50" s="45"/>
      <c r="ELA50" s="45"/>
      <c r="ELB50" s="45"/>
      <c r="ELC50" s="45"/>
      <c r="ELD50" s="45"/>
      <c r="ELE50" s="45"/>
      <c r="ELF50" s="45"/>
      <c r="ELG50" s="45"/>
      <c r="ELH50" s="45"/>
      <c r="ELI50" s="45"/>
      <c r="ELJ50" s="45"/>
      <c r="ELK50" s="45"/>
      <c r="ELL50" s="45"/>
      <c r="ELM50" s="45"/>
      <c r="ELN50" s="45"/>
      <c r="ELO50" s="45"/>
      <c r="ELP50" s="45"/>
      <c r="ELQ50" s="45"/>
      <c r="ELR50" s="45"/>
      <c r="ELS50" s="45"/>
      <c r="ELT50" s="45"/>
      <c r="ELU50" s="45"/>
      <c r="ELV50" s="45"/>
      <c r="ELW50" s="45"/>
      <c r="ELX50" s="45"/>
      <c r="ELY50" s="45"/>
      <c r="ELZ50" s="45"/>
      <c r="EMA50" s="45"/>
      <c r="EMB50" s="45"/>
      <c r="EMC50" s="45"/>
      <c r="EMD50" s="45"/>
      <c r="EME50" s="45"/>
      <c r="EMF50" s="45"/>
      <c r="EMG50" s="45"/>
      <c r="EMH50" s="45"/>
      <c r="EMI50" s="45"/>
      <c r="EMJ50" s="45"/>
      <c r="EMK50" s="45"/>
      <c r="EML50" s="45"/>
      <c r="EMM50" s="45"/>
      <c r="EMN50" s="45"/>
      <c r="EMO50" s="45"/>
      <c r="EMP50" s="45"/>
      <c r="EMQ50" s="45"/>
      <c r="EMR50" s="45"/>
      <c r="EMS50" s="45"/>
      <c r="EMT50" s="45"/>
      <c r="EMU50" s="45"/>
      <c r="EMV50" s="45"/>
      <c r="EMW50" s="45"/>
      <c r="EMX50" s="45"/>
      <c r="EMY50" s="45"/>
      <c r="EMZ50" s="45"/>
      <c r="ENA50" s="45"/>
      <c r="ENB50" s="45"/>
      <c r="ENC50" s="45"/>
      <c r="END50" s="45"/>
      <c r="ENE50" s="45"/>
      <c r="ENF50" s="45"/>
      <c r="ENG50" s="45"/>
      <c r="ENH50" s="45"/>
      <c r="ENI50" s="45"/>
      <c r="ENJ50" s="45"/>
      <c r="ENK50" s="45"/>
      <c r="ENL50" s="45"/>
      <c r="ENM50" s="45"/>
      <c r="ENN50" s="45"/>
      <c r="ENO50" s="45"/>
      <c r="ENP50" s="45"/>
      <c r="ENQ50" s="45"/>
      <c r="ENR50" s="45"/>
      <c r="ENS50" s="45"/>
      <c r="ENT50" s="45"/>
      <c r="ENU50" s="45"/>
      <c r="ENV50" s="45"/>
      <c r="ENW50" s="45"/>
      <c r="ENX50" s="45"/>
      <c r="ENY50" s="45"/>
      <c r="ENZ50" s="45"/>
      <c r="EOA50" s="45"/>
      <c r="EOB50" s="45"/>
      <c r="EOC50" s="45"/>
      <c r="EOD50" s="45"/>
      <c r="EOE50" s="45"/>
      <c r="EOF50" s="45"/>
      <c r="EOG50" s="45"/>
      <c r="EOH50" s="45"/>
      <c r="EOI50" s="45"/>
      <c r="EOJ50" s="45"/>
      <c r="EOK50" s="45"/>
      <c r="EOL50" s="45"/>
      <c r="EOM50" s="45"/>
      <c r="EON50" s="45"/>
      <c r="EOO50" s="45"/>
      <c r="EOP50" s="45"/>
      <c r="EOQ50" s="45"/>
      <c r="EOR50" s="45"/>
      <c r="EOS50" s="45"/>
      <c r="EOT50" s="45"/>
      <c r="EOU50" s="45"/>
      <c r="EOV50" s="45"/>
      <c r="EOW50" s="45"/>
      <c r="EOX50" s="45"/>
      <c r="EOY50" s="45"/>
      <c r="EOZ50" s="45"/>
      <c r="EPA50" s="45"/>
      <c r="EPB50" s="45"/>
      <c r="EPC50" s="45"/>
      <c r="EPD50" s="45"/>
      <c r="EPE50" s="45"/>
      <c r="EPF50" s="45"/>
      <c r="EPG50" s="45"/>
      <c r="EPH50" s="45"/>
      <c r="EPI50" s="45"/>
      <c r="EPJ50" s="45"/>
      <c r="EPK50" s="45"/>
      <c r="EPL50" s="45"/>
      <c r="EPM50" s="45"/>
      <c r="EPN50" s="45"/>
      <c r="EPO50" s="45"/>
      <c r="EPP50" s="45"/>
      <c r="EPQ50" s="45"/>
      <c r="EPR50" s="45"/>
      <c r="EPS50" s="45"/>
      <c r="EPT50" s="45"/>
      <c r="EPU50" s="45"/>
      <c r="EPV50" s="45"/>
      <c r="EPW50" s="45"/>
      <c r="EPX50" s="45"/>
      <c r="EPY50" s="45"/>
      <c r="EPZ50" s="45"/>
      <c r="EQA50" s="45"/>
      <c r="EQB50" s="45"/>
      <c r="EQC50" s="45"/>
      <c r="EQD50" s="45"/>
      <c r="EQE50" s="45"/>
      <c r="EQF50" s="45"/>
      <c r="EQG50" s="45"/>
      <c r="EQH50" s="45"/>
      <c r="EQI50" s="45"/>
      <c r="EQJ50" s="45"/>
      <c r="EQK50" s="45"/>
      <c r="EQL50" s="45"/>
      <c r="EQM50" s="45"/>
      <c r="EQN50" s="45"/>
      <c r="EQO50" s="45"/>
      <c r="EQP50" s="45"/>
      <c r="EQQ50" s="45"/>
      <c r="EQR50" s="45"/>
      <c r="EQS50" s="45"/>
      <c r="EQT50" s="45"/>
      <c r="EQU50" s="45"/>
      <c r="EQV50" s="45"/>
      <c r="EQW50" s="45"/>
      <c r="EQX50" s="45"/>
      <c r="EQY50" s="45"/>
      <c r="EQZ50" s="45"/>
      <c r="ERA50" s="45"/>
      <c r="ERB50" s="45"/>
      <c r="ERC50" s="45"/>
      <c r="ERD50" s="45"/>
      <c r="ERE50" s="45"/>
      <c r="ERF50" s="45"/>
      <c r="ERG50" s="45"/>
      <c r="ERH50" s="45"/>
      <c r="ERI50" s="45"/>
      <c r="ERJ50" s="45"/>
      <c r="ERK50" s="45"/>
      <c r="ERL50" s="45"/>
      <c r="ERM50" s="45"/>
      <c r="ERN50" s="45"/>
      <c r="ERO50" s="45"/>
      <c r="ERP50" s="45"/>
      <c r="ERQ50" s="45"/>
      <c r="ERR50" s="45"/>
      <c r="ERS50" s="45"/>
      <c r="ERT50" s="45"/>
      <c r="ERU50" s="45"/>
      <c r="ERV50" s="45"/>
      <c r="ERW50" s="45"/>
      <c r="ERX50" s="45"/>
      <c r="ERY50" s="45"/>
      <c r="ERZ50" s="45"/>
      <c r="ESA50" s="45"/>
      <c r="ESB50" s="45"/>
      <c r="ESC50" s="45"/>
      <c r="ESD50" s="45"/>
      <c r="ESE50" s="45"/>
      <c r="ESF50" s="45"/>
      <c r="ESG50" s="45"/>
      <c r="ESH50" s="45"/>
      <c r="ESI50" s="45"/>
      <c r="ESJ50" s="45"/>
      <c r="ESK50" s="45"/>
      <c r="ESL50" s="45"/>
      <c r="ESM50" s="45"/>
      <c r="ESN50" s="45"/>
      <c r="ESO50" s="45"/>
      <c r="ESP50" s="45"/>
      <c r="ESQ50" s="45"/>
      <c r="ESR50" s="45"/>
      <c r="ESS50" s="45"/>
      <c r="EST50" s="45"/>
      <c r="ESU50" s="45"/>
      <c r="ESV50" s="45"/>
      <c r="ESW50" s="45"/>
      <c r="ESX50" s="45"/>
      <c r="ESY50" s="45"/>
      <c r="ESZ50" s="45"/>
      <c r="ETA50" s="45"/>
      <c r="ETB50" s="45"/>
      <c r="ETC50" s="45"/>
      <c r="ETD50" s="45"/>
      <c r="ETE50" s="45"/>
      <c r="ETF50" s="45"/>
      <c r="ETG50" s="45"/>
      <c r="ETH50" s="45"/>
      <c r="ETI50" s="45"/>
      <c r="ETJ50" s="45"/>
      <c r="ETK50" s="45"/>
      <c r="ETL50" s="45"/>
      <c r="ETM50" s="45"/>
      <c r="ETN50" s="45"/>
      <c r="ETO50" s="45"/>
      <c r="ETP50" s="45"/>
      <c r="ETQ50" s="45"/>
      <c r="ETR50" s="45"/>
      <c r="ETS50" s="45"/>
      <c r="ETT50" s="45"/>
      <c r="ETU50" s="45"/>
      <c r="ETV50" s="45"/>
      <c r="ETW50" s="45"/>
      <c r="ETX50" s="45"/>
      <c r="ETY50" s="45"/>
      <c r="ETZ50" s="45"/>
      <c r="EUA50" s="45"/>
      <c r="EUB50" s="45"/>
      <c r="EUC50" s="45"/>
      <c r="EUD50" s="45"/>
      <c r="EUE50" s="45"/>
      <c r="EUF50" s="45"/>
      <c r="EUG50" s="45"/>
      <c r="EUH50" s="45"/>
      <c r="EUI50" s="45"/>
      <c r="EUJ50" s="45"/>
      <c r="EUK50" s="45"/>
      <c r="EUL50" s="45"/>
      <c r="EUM50" s="45"/>
      <c r="EUN50" s="45"/>
      <c r="EUO50" s="45"/>
      <c r="EUP50" s="45"/>
      <c r="EUQ50" s="45"/>
      <c r="EUR50" s="45"/>
      <c r="EUS50" s="45"/>
      <c r="EUT50" s="45"/>
      <c r="EUU50" s="45"/>
      <c r="EUV50" s="45"/>
      <c r="EUW50" s="45"/>
      <c r="EUX50" s="45"/>
      <c r="EUY50" s="45"/>
      <c r="EUZ50" s="45"/>
      <c r="EVA50" s="45"/>
      <c r="EVB50" s="45"/>
      <c r="EVC50" s="45"/>
      <c r="EVD50" s="45"/>
      <c r="EVE50" s="45"/>
      <c r="EVF50" s="45"/>
      <c r="EVG50" s="45"/>
      <c r="EVH50" s="45"/>
      <c r="EVI50" s="45"/>
      <c r="EVJ50" s="45"/>
      <c r="EVK50" s="45"/>
      <c r="EVL50" s="45"/>
      <c r="EVM50" s="45"/>
      <c r="EVN50" s="45"/>
      <c r="EVO50" s="45"/>
      <c r="EVP50" s="45"/>
      <c r="EVQ50" s="45"/>
      <c r="EVR50" s="45"/>
      <c r="EVS50" s="45"/>
      <c r="EVT50" s="45"/>
      <c r="EVU50" s="45"/>
      <c r="EVV50" s="45"/>
      <c r="EVW50" s="45"/>
      <c r="EVX50" s="45"/>
      <c r="EVY50" s="45"/>
      <c r="EVZ50" s="45"/>
      <c r="EWA50" s="45"/>
      <c r="EWB50" s="45"/>
      <c r="EWC50" s="45"/>
      <c r="EWD50" s="45"/>
      <c r="EWE50" s="45"/>
      <c r="EWF50" s="45"/>
      <c r="EWG50" s="45"/>
      <c r="EWH50" s="45"/>
      <c r="EWI50" s="45"/>
      <c r="EWJ50" s="45"/>
      <c r="EWK50" s="45"/>
      <c r="EWL50" s="45"/>
      <c r="EWM50" s="45"/>
      <c r="EWN50" s="45"/>
      <c r="EWO50" s="45"/>
      <c r="EWP50" s="45"/>
      <c r="EWQ50" s="45"/>
      <c r="EWR50" s="45"/>
      <c r="EWS50" s="45"/>
      <c r="EWT50" s="45"/>
      <c r="EWU50" s="45"/>
      <c r="EWV50" s="45"/>
      <c r="EWW50" s="45"/>
      <c r="EWX50" s="45"/>
      <c r="EWY50" s="45"/>
      <c r="EWZ50" s="45"/>
      <c r="EXA50" s="45"/>
      <c r="EXB50" s="45"/>
      <c r="EXC50" s="45"/>
      <c r="EXD50" s="45"/>
      <c r="EXE50" s="45"/>
      <c r="EXF50" s="45"/>
      <c r="EXG50" s="45"/>
      <c r="EXH50" s="45"/>
      <c r="EXI50" s="45"/>
      <c r="EXJ50" s="45"/>
      <c r="EXK50" s="45"/>
      <c r="EXL50" s="45"/>
      <c r="EXM50" s="45"/>
      <c r="EXN50" s="45"/>
      <c r="EXO50" s="45"/>
      <c r="EXP50" s="45"/>
      <c r="EXQ50" s="45"/>
      <c r="EXR50" s="45"/>
      <c r="EXS50" s="45"/>
      <c r="EXT50" s="45"/>
      <c r="EXU50" s="45"/>
      <c r="EXV50" s="45"/>
      <c r="EXW50" s="45"/>
      <c r="EXX50" s="45"/>
      <c r="EXY50" s="45"/>
      <c r="EXZ50" s="45"/>
      <c r="EYA50" s="45"/>
      <c r="EYB50" s="45"/>
      <c r="EYC50" s="45"/>
      <c r="EYD50" s="45"/>
      <c r="EYE50" s="45"/>
      <c r="EYF50" s="45"/>
      <c r="EYG50" s="45"/>
      <c r="EYH50" s="45"/>
      <c r="EYI50" s="45"/>
      <c r="EYJ50" s="45"/>
      <c r="EYK50" s="45"/>
      <c r="EYL50" s="45"/>
      <c r="EYM50" s="45"/>
      <c r="EYN50" s="45"/>
      <c r="EYO50" s="45"/>
      <c r="EYP50" s="45"/>
      <c r="EYQ50" s="45"/>
      <c r="EYR50" s="45"/>
      <c r="EYS50" s="45"/>
      <c r="EYT50" s="45"/>
      <c r="EYU50" s="45"/>
      <c r="EYV50" s="45"/>
      <c r="EYW50" s="45"/>
      <c r="EYX50" s="45"/>
      <c r="EYY50" s="45"/>
      <c r="EYZ50" s="45"/>
      <c r="EZA50" s="45"/>
      <c r="EZB50" s="45"/>
      <c r="EZC50" s="45"/>
      <c r="EZD50" s="45"/>
      <c r="EZE50" s="45"/>
      <c r="EZF50" s="45"/>
      <c r="EZG50" s="45"/>
      <c r="EZH50" s="45"/>
      <c r="EZI50" s="45"/>
      <c r="EZJ50" s="45"/>
      <c r="EZK50" s="45"/>
      <c r="EZL50" s="45"/>
      <c r="EZM50" s="45"/>
      <c r="EZN50" s="45"/>
      <c r="EZO50" s="45"/>
      <c r="EZP50" s="45"/>
      <c r="EZQ50" s="45"/>
      <c r="EZR50" s="45"/>
      <c r="EZS50" s="45"/>
      <c r="EZT50" s="45"/>
      <c r="EZU50" s="45"/>
      <c r="EZV50" s="45"/>
      <c r="EZW50" s="45"/>
      <c r="EZX50" s="45"/>
      <c r="EZY50" s="45"/>
      <c r="EZZ50" s="45"/>
      <c r="FAA50" s="45"/>
      <c r="FAB50" s="45"/>
      <c r="FAC50" s="45"/>
      <c r="FAD50" s="45"/>
      <c r="FAE50" s="45"/>
      <c r="FAF50" s="45"/>
      <c r="FAG50" s="45"/>
      <c r="FAH50" s="45"/>
      <c r="FAI50" s="45"/>
      <c r="FAJ50" s="45"/>
      <c r="FAK50" s="45"/>
      <c r="FAL50" s="45"/>
      <c r="FAM50" s="45"/>
      <c r="FAN50" s="45"/>
      <c r="FAO50" s="45"/>
      <c r="FAP50" s="45"/>
      <c r="FAQ50" s="45"/>
      <c r="FAR50" s="45"/>
      <c r="FAS50" s="45"/>
      <c r="FAT50" s="45"/>
      <c r="FAU50" s="45"/>
      <c r="FAV50" s="45"/>
      <c r="FAW50" s="45"/>
      <c r="FAX50" s="45"/>
      <c r="FAY50" s="45"/>
      <c r="FAZ50" s="45"/>
      <c r="FBA50" s="45"/>
      <c r="FBB50" s="45"/>
      <c r="FBC50" s="45"/>
      <c r="FBD50" s="45"/>
      <c r="FBE50" s="45"/>
      <c r="FBF50" s="45"/>
      <c r="FBG50" s="45"/>
      <c r="FBH50" s="45"/>
      <c r="FBI50" s="45"/>
      <c r="FBJ50" s="45"/>
      <c r="FBK50" s="45"/>
      <c r="FBL50" s="45"/>
      <c r="FBM50" s="45"/>
      <c r="FBN50" s="45"/>
      <c r="FBO50" s="45"/>
      <c r="FBP50" s="45"/>
      <c r="FBQ50" s="45"/>
      <c r="FBR50" s="45"/>
      <c r="FBS50" s="45"/>
      <c r="FBT50" s="45"/>
      <c r="FBU50" s="45"/>
      <c r="FBV50" s="45"/>
      <c r="FBW50" s="45"/>
      <c r="FBX50" s="45"/>
      <c r="FBY50" s="45"/>
      <c r="FBZ50" s="45"/>
      <c r="FCA50" s="45"/>
      <c r="FCB50" s="45"/>
      <c r="FCC50" s="45"/>
      <c r="FCD50" s="45"/>
      <c r="FCE50" s="45"/>
      <c r="FCF50" s="45"/>
      <c r="FCG50" s="45"/>
      <c r="FCH50" s="45"/>
      <c r="FCI50" s="45"/>
      <c r="FCJ50" s="45"/>
      <c r="FCK50" s="45"/>
      <c r="FCL50" s="45"/>
      <c r="FCM50" s="45"/>
      <c r="FCN50" s="45"/>
      <c r="FCO50" s="45"/>
      <c r="FCP50" s="45"/>
      <c r="FCQ50" s="45"/>
      <c r="FCR50" s="45"/>
      <c r="FCS50" s="45"/>
      <c r="FCT50" s="45"/>
      <c r="FCU50" s="45"/>
      <c r="FCV50" s="45"/>
      <c r="FCW50" s="45"/>
      <c r="FCX50" s="45"/>
      <c r="FCY50" s="45"/>
      <c r="FCZ50" s="45"/>
      <c r="FDA50" s="45"/>
      <c r="FDB50" s="45"/>
      <c r="FDC50" s="45"/>
      <c r="FDD50" s="45"/>
      <c r="FDE50" s="45"/>
      <c r="FDF50" s="45"/>
      <c r="FDG50" s="45"/>
      <c r="FDH50" s="45"/>
      <c r="FDI50" s="45"/>
      <c r="FDJ50" s="45"/>
      <c r="FDK50" s="45"/>
      <c r="FDL50" s="45"/>
      <c r="FDM50" s="45"/>
      <c r="FDN50" s="45"/>
      <c r="FDO50" s="45"/>
      <c r="FDP50" s="45"/>
      <c r="FDQ50" s="45"/>
      <c r="FDR50" s="45"/>
      <c r="FDS50" s="45"/>
      <c r="FDT50" s="45"/>
      <c r="FDU50" s="45"/>
      <c r="FDV50" s="45"/>
      <c r="FDW50" s="45"/>
      <c r="FDX50" s="45"/>
      <c r="FDY50" s="45"/>
      <c r="FDZ50" s="45"/>
      <c r="FEA50" s="45"/>
      <c r="FEB50" s="45"/>
      <c r="FEC50" s="45"/>
      <c r="FED50" s="45"/>
      <c r="FEE50" s="45"/>
      <c r="FEF50" s="45"/>
      <c r="FEG50" s="45"/>
      <c r="FEH50" s="45"/>
      <c r="FEI50" s="45"/>
      <c r="FEJ50" s="45"/>
      <c r="FEK50" s="45"/>
      <c r="FEL50" s="45"/>
      <c r="FEM50" s="45"/>
      <c r="FEN50" s="45"/>
      <c r="FEO50" s="45"/>
      <c r="FEP50" s="45"/>
      <c r="FEQ50" s="45"/>
      <c r="FER50" s="45"/>
      <c r="FES50" s="45"/>
      <c r="FET50" s="45"/>
      <c r="FEU50" s="45"/>
      <c r="FEV50" s="45"/>
      <c r="FEW50" s="45"/>
      <c r="FEX50" s="45"/>
      <c r="FEY50" s="45"/>
      <c r="FEZ50" s="45"/>
      <c r="FFA50" s="45"/>
      <c r="FFB50" s="45"/>
      <c r="FFC50" s="45"/>
      <c r="FFD50" s="45"/>
      <c r="FFE50" s="45"/>
      <c r="FFF50" s="45"/>
      <c r="FFG50" s="45"/>
      <c r="FFH50" s="45"/>
      <c r="FFI50" s="45"/>
      <c r="FFJ50" s="45"/>
      <c r="FFK50" s="45"/>
      <c r="FFL50" s="45"/>
      <c r="FFM50" s="45"/>
      <c r="FFN50" s="45"/>
      <c r="FFO50" s="45"/>
      <c r="FFP50" s="45"/>
      <c r="FFQ50" s="45"/>
      <c r="FFR50" s="45"/>
      <c r="FFS50" s="45"/>
      <c r="FFT50" s="45"/>
      <c r="FFU50" s="45"/>
      <c r="FFV50" s="45"/>
      <c r="FFW50" s="45"/>
      <c r="FFX50" s="45"/>
      <c r="FFY50" s="45"/>
      <c r="FFZ50" s="45"/>
      <c r="FGA50" s="45"/>
      <c r="FGB50" s="45"/>
      <c r="FGC50" s="45"/>
      <c r="FGD50" s="45"/>
      <c r="FGE50" s="45"/>
      <c r="FGF50" s="45"/>
      <c r="FGG50" s="45"/>
      <c r="FGH50" s="45"/>
      <c r="FGI50" s="45"/>
      <c r="FGJ50" s="45"/>
      <c r="FGK50" s="45"/>
      <c r="FGL50" s="45"/>
      <c r="FGM50" s="45"/>
      <c r="FGN50" s="45"/>
      <c r="FGO50" s="45"/>
      <c r="FGP50" s="45"/>
      <c r="FGQ50" s="45"/>
      <c r="FGR50" s="45"/>
      <c r="FGS50" s="45"/>
      <c r="FGT50" s="45"/>
      <c r="FGU50" s="45"/>
      <c r="FGV50" s="45"/>
      <c r="FGW50" s="45"/>
      <c r="FGX50" s="45"/>
      <c r="FGY50" s="45"/>
      <c r="FGZ50" s="45"/>
      <c r="FHA50" s="45"/>
      <c r="FHB50" s="45"/>
      <c r="FHC50" s="45"/>
      <c r="FHD50" s="45"/>
      <c r="FHE50" s="45"/>
      <c r="FHF50" s="45"/>
      <c r="FHG50" s="45"/>
      <c r="FHH50" s="45"/>
      <c r="FHI50" s="45"/>
      <c r="FHJ50" s="45"/>
      <c r="FHK50" s="45"/>
      <c r="FHL50" s="45"/>
      <c r="FHM50" s="45"/>
      <c r="FHN50" s="45"/>
      <c r="FHO50" s="45"/>
      <c r="FHP50" s="45"/>
      <c r="FHQ50" s="45"/>
      <c r="FHR50" s="45"/>
      <c r="FHS50" s="45"/>
      <c r="FHT50" s="45"/>
      <c r="FHU50" s="45"/>
      <c r="FHV50" s="45"/>
      <c r="FHW50" s="45"/>
      <c r="FHX50" s="45"/>
      <c r="FHY50" s="45"/>
      <c r="FHZ50" s="45"/>
      <c r="FIA50" s="45"/>
      <c r="FIB50" s="45"/>
      <c r="FIC50" s="45"/>
      <c r="FID50" s="45"/>
      <c r="FIE50" s="45"/>
      <c r="FIF50" s="45"/>
      <c r="FIG50" s="45"/>
      <c r="FIH50" s="45"/>
      <c r="FII50" s="45"/>
      <c r="FIJ50" s="45"/>
      <c r="FIK50" s="45"/>
      <c r="FIL50" s="45"/>
      <c r="FIM50" s="45"/>
      <c r="FIN50" s="45"/>
      <c r="FIO50" s="45"/>
      <c r="FIP50" s="45"/>
      <c r="FIQ50" s="45"/>
      <c r="FIR50" s="45"/>
      <c r="FIS50" s="45"/>
      <c r="FIT50" s="45"/>
      <c r="FIU50" s="45"/>
      <c r="FIV50" s="45"/>
      <c r="FIW50" s="45"/>
      <c r="FIX50" s="45"/>
      <c r="FIY50" s="45"/>
      <c r="FIZ50" s="45"/>
      <c r="FJA50" s="45"/>
      <c r="FJB50" s="45"/>
      <c r="FJC50" s="45"/>
      <c r="FJD50" s="45"/>
      <c r="FJE50" s="45"/>
      <c r="FJF50" s="45"/>
      <c r="FJG50" s="45"/>
      <c r="FJH50" s="45"/>
      <c r="FJI50" s="45"/>
      <c r="FJJ50" s="45"/>
      <c r="FJK50" s="45"/>
      <c r="FJL50" s="45"/>
      <c r="FJM50" s="45"/>
      <c r="FJN50" s="45"/>
      <c r="FJO50" s="45"/>
      <c r="FJP50" s="45"/>
      <c r="FJQ50" s="45"/>
      <c r="FJR50" s="45"/>
      <c r="FJS50" s="45"/>
      <c r="FJT50" s="45"/>
      <c r="FJU50" s="45"/>
      <c r="FJV50" s="45"/>
      <c r="FJW50" s="45"/>
      <c r="FJX50" s="45"/>
      <c r="FJY50" s="45"/>
      <c r="FJZ50" s="45"/>
      <c r="FKA50" s="45"/>
      <c r="FKB50" s="45"/>
      <c r="FKC50" s="45"/>
      <c r="FKD50" s="45"/>
      <c r="FKE50" s="45"/>
      <c r="FKF50" s="45"/>
      <c r="FKG50" s="45"/>
      <c r="FKH50" s="45"/>
      <c r="FKI50" s="45"/>
      <c r="FKJ50" s="45"/>
      <c r="FKK50" s="45"/>
      <c r="FKL50" s="45"/>
      <c r="FKM50" s="45"/>
      <c r="FKN50" s="45"/>
      <c r="FKO50" s="45"/>
      <c r="FKP50" s="45"/>
      <c r="FKQ50" s="45"/>
      <c r="FKR50" s="45"/>
      <c r="FKS50" s="45"/>
      <c r="FKT50" s="45"/>
      <c r="FKU50" s="45"/>
      <c r="FKV50" s="45"/>
      <c r="FKW50" s="45"/>
      <c r="FKX50" s="45"/>
      <c r="FKY50" s="45"/>
      <c r="FKZ50" s="45"/>
      <c r="FLA50" s="45"/>
      <c r="FLB50" s="45"/>
      <c r="FLC50" s="45"/>
      <c r="FLD50" s="45"/>
      <c r="FLE50" s="45"/>
      <c r="FLF50" s="45"/>
      <c r="FLG50" s="45"/>
      <c r="FLH50" s="45"/>
      <c r="FLI50" s="45"/>
      <c r="FLJ50" s="45"/>
      <c r="FLK50" s="45"/>
      <c r="FLL50" s="45"/>
      <c r="FLM50" s="45"/>
      <c r="FLN50" s="45"/>
      <c r="FLO50" s="45"/>
      <c r="FLP50" s="45"/>
      <c r="FLQ50" s="45"/>
      <c r="FLR50" s="45"/>
      <c r="FLS50" s="45"/>
      <c r="FLT50" s="45"/>
      <c r="FLU50" s="45"/>
      <c r="FLV50" s="45"/>
      <c r="FLW50" s="45"/>
      <c r="FLX50" s="45"/>
      <c r="FLY50" s="45"/>
      <c r="FLZ50" s="45"/>
      <c r="FMA50" s="45"/>
      <c r="FMB50" s="45"/>
      <c r="FMC50" s="45"/>
      <c r="FMD50" s="45"/>
      <c r="FME50" s="45"/>
      <c r="FMF50" s="45"/>
      <c r="FMG50" s="45"/>
      <c r="FMH50" s="45"/>
      <c r="FMI50" s="45"/>
      <c r="FMJ50" s="45"/>
      <c r="FMK50" s="45"/>
      <c r="FML50" s="45"/>
      <c r="FMM50" s="45"/>
      <c r="FMN50" s="45"/>
      <c r="FMO50" s="45"/>
      <c r="FMP50" s="45"/>
      <c r="FMQ50" s="45"/>
      <c r="FMR50" s="45"/>
      <c r="FMS50" s="45"/>
      <c r="FMT50" s="45"/>
      <c r="FMU50" s="45"/>
      <c r="FMV50" s="45"/>
      <c r="FMW50" s="45"/>
      <c r="FMX50" s="45"/>
      <c r="FMY50" s="45"/>
      <c r="FMZ50" s="45"/>
      <c r="FNA50" s="45"/>
      <c r="FNB50" s="45"/>
      <c r="FNC50" s="45"/>
      <c r="FND50" s="45"/>
      <c r="FNE50" s="45"/>
      <c r="FNF50" s="45"/>
      <c r="FNG50" s="45"/>
      <c r="FNH50" s="45"/>
      <c r="FNI50" s="45"/>
      <c r="FNJ50" s="45"/>
      <c r="FNK50" s="45"/>
      <c r="FNL50" s="45"/>
      <c r="FNM50" s="45"/>
      <c r="FNN50" s="45"/>
      <c r="FNO50" s="45"/>
      <c r="FNP50" s="45"/>
      <c r="FNQ50" s="45"/>
      <c r="FNR50" s="45"/>
      <c r="FNS50" s="45"/>
      <c r="FNT50" s="45"/>
      <c r="FNU50" s="45"/>
      <c r="FNV50" s="45"/>
      <c r="FNW50" s="45"/>
      <c r="FNX50" s="45"/>
      <c r="FNY50" s="45"/>
      <c r="FNZ50" s="45"/>
      <c r="FOA50" s="45"/>
      <c r="FOB50" s="45"/>
      <c r="FOC50" s="45"/>
      <c r="FOD50" s="45"/>
      <c r="FOE50" s="45"/>
      <c r="FOF50" s="45"/>
      <c r="FOG50" s="45"/>
      <c r="FOH50" s="45"/>
      <c r="FOI50" s="45"/>
      <c r="FOJ50" s="45"/>
      <c r="FOK50" s="45"/>
      <c r="FOL50" s="45"/>
      <c r="FOM50" s="45"/>
      <c r="FON50" s="45"/>
      <c r="FOO50" s="45"/>
      <c r="FOP50" s="45"/>
      <c r="FOQ50" s="45"/>
      <c r="FOR50" s="45"/>
      <c r="FOS50" s="45"/>
      <c r="FOT50" s="45"/>
      <c r="FOU50" s="45"/>
      <c r="FOV50" s="45"/>
      <c r="FOW50" s="45"/>
      <c r="FOX50" s="45"/>
      <c r="FOY50" s="45"/>
      <c r="FOZ50" s="45"/>
      <c r="FPA50" s="45"/>
      <c r="FPB50" s="45"/>
      <c r="FPC50" s="45"/>
      <c r="FPD50" s="45"/>
      <c r="FPE50" s="45"/>
      <c r="FPF50" s="45"/>
      <c r="FPG50" s="45"/>
      <c r="FPH50" s="45"/>
      <c r="FPI50" s="45"/>
      <c r="FPJ50" s="45"/>
      <c r="FPK50" s="45"/>
      <c r="FPL50" s="45"/>
      <c r="FPM50" s="45"/>
      <c r="FPN50" s="45"/>
      <c r="FPO50" s="45"/>
      <c r="FPP50" s="45"/>
      <c r="FPQ50" s="45"/>
      <c r="FPR50" s="45"/>
      <c r="FPS50" s="45"/>
      <c r="FPT50" s="45"/>
      <c r="FPU50" s="45"/>
      <c r="FPV50" s="45"/>
      <c r="FPW50" s="45"/>
      <c r="FPX50" s="45"/>
      <c r="FPY50" s="45"/>
      <c r="FPZ50" s="45"/>
      <c r="FQA50" s="45"/>
      <c r="FQB50" s="45"/>
      <c r="FQC50" s="45"/>
      <c r="FQD50" s="45"/>
      <c r="FQE50" s="45"/>
      <c r="FQF50" s="45"/>
      <c r="FQG50" s="45"/>
      <c r="FQH50" s="45"/>
      <c r="FQI50" s="45"/>
      <c r="FQJ50" s="45"/>
      <c r="FQK50" s="45"/>
      <c r="FQL50" s="45"/>
      <c r="FQM50" s="45"/>
      <c r="FQN50" s="45"/>
      <c r="FQO50" s="45"/>
      <c r="FQP50" s="45"/>
      <c r="FQQ50" s="45"/>
      <c r="FQR50" s="45"/>
      <c r="FQS50" s="45"/>
      <c r="FQT50" s="45"/>
      <c r="FQU50" s="45"/>
      <c r="FQV50" s="45"/>
      <c r="FQW50" s="45"/>
      <c r="FQX50" s="45"/>
      <c r="FQY50" s="45"/>
      <c r="FQZ50" s="45"/>
      <c r="FRA50" s="45"/>
      <c r="FRB50" s="45"/>
      <c r="FRC50" s="45"/>
      <c r="FRD50" s="45"/>
      <c r="FRE50" s="45"/>
      <c r="FRF50" s="45"/>
      <c r="FRG50" s="45"/>
      <c r="FRH50" s="45"/>
      <c r="FRI50" s="45"/>
      <c r="FRJ50" s="45"/>
      <c r="FRK50" s="45"/>
      <c r="FRL50" s="45"/>
      <c r="FRM50" s="45"/>
      <c r="FRN50" s="45"/>
      <c r="FRO50" s="45"/>
      <c r="FRP50" s="45"/>
      <c r="FRQ50" s="45"/>
      <c r="FRR50" s="45"/>
      <c r="FRS50" s="45"/>
      <c r="FRT50" s="45"/>
      <c r="FRU50" s="45"/>
      <c r="FRV50" s="45"/>
      <c r="FRW50" s="45"/>
      <c r="FRX50" s="45"/>
      <c r="FRY50" s="45"/>
      <c r="FRZ50" s="45"/>
      <c r="FSA50" s="45"/>
      <c r="FSB50" s="45"/>
      <c r="FSC50" s="45"/>
      <c r="FSD50" s="45"/>
      <c r="FSE50" s="45"/>
      <c r="FSF50" s="45"/>
      <c r="FSG50" s="45"/>
      <c r="FSH50" s="45"/>
      <c r="FSI50" s="45"/>
      <c r="FSJ50" s="45"/>
      <c r="FSK50" s="45"/>
      <c r="FSL50" s="45"/>
      <c r="FSM50" s="45"/>
      <c r="FSN50" s="45"/>
      <c r="FSO50" s="45"/>
      <c r="FSP50" s="45"/>
      <c r="FSQ50" s="45"/>
      <c r="FSR50" s="45"/>
      <c r="FSS50" s="45"/>
      <c r="FST50" s="45"/>
      <c r="FSU50" s="45"/>
      <c r="FSV50" s="45"/>
      <c r="FSW50" s="45"/>
      <c r="FSX50" s="45"/>
      <c r="FSY50" s="45"/>
      <c r="FSZ50" s="45"/>
      <c r="FTA50" s="45"/>
      <c r="FTB50" s="45"/>
      <c r="FTC50" s="45"/>
      <c r="FTD50" s="45"/>
      <c r="FTE50" s="45"/>
      <c r="FTF50" s="45"/>
      <c r="FTG50" s="45"/>
      <c r="FTH50" s="45"/>
      <c r="FTI50" s="45"/>
      <c r="FTJ50" s="45"/>
      <c r="FTK50" s="45"/>
      <c r="FTL50" s="45"/>
      <c r="FTM50" s="45"/>
      <c r="FTN50" s="45"/>
      <c r="FTO50" s="45"/>
      <c r="FTP50" s="45"/>
      <c r="FTQ50" s="45"/>
      <c r="FTR50" s="45"/>
      <c r="FTS50" s="45"/>
      <c r="FTT50" s="45"/>
      <c r="FTU50" s="45"/>
      <c r="FTV50" s="45"/>
      <c r="FTW50" s="45"/>
      <c r="FTX50" s="45"/>
      <c r="FTY50" s="45"/>
      <c r="FTZ50" s="45"/>
      <c r="FUA50" s="45"/>
      <c r="FUB50" s="45"/>
      <c r="FUC50" s="45"/>
      <c r="FUD50" s="45"/>
      <c r="FUE50" s="45"/>
      <c r="FUF50" s="45"/>
      <c r="FUG50" s="45"/>
      <c r="FUH50" s="45"/>
      <c r="FUI50" s="45"/>
      <c r="FUJ50" s="45"/>
      <c r="FUK50" s="45"/>
      <c r="FUL50" s="45"/>
      <c r="FUM50" s="45"/>
      <c r="FUN50" s="45"/>
      <c r="FUO50" s="45"/>
      <c r="FUP50" s="45"/>
      <c r="FUQ50" s="45"/>
      <c r="FUR50" s="45"/>
      <c r="FUS50" s="45"/>
      <c r="FUT50" s="45"/>
      <c r="FUU50" s="45"/>
      <c r="FUV50" s="45"/>
      <c r="FUW50" s="45"/>
      <c r="FUX50" s="45"/>
      <c r="FUY50" s="45"/>
      <c r="FUZ50" s="45"/>
      <c r="FVA50" s="45"/>
      <c r="FVB50" s="45"/>
      <c r="FVC50" s="45"/>
      <c r="FVD50" s="45"/>
      <c r="FVE50" s="45"/>
      <c r="FVF50" s="45"/>
      <c r="FVG50" s="45"/>
      <c r="FVH50" s="45"/>
      <c r="FVI50" s="45"/>
      <c r="FVJ50" s="45"/>
      <c r="FVK50" s="45"/>
      <c r="FVL50" s="45"/>
      <c r="FVM50" s="45"/>
      <c r="FVN50" s="45"/>
      <c r="FVO50" s="45"/>
      <c r="FVP50" s="45"/>
      <c r="FVQ50" s="45"/>
      <c r="FVR50" s="45"/>
      <c r="FVS50" s="45"/>
      <c r="FVT50" s="45"/>
      <c r="FVU50" s="45"/>
      <c r="FVV50" s="45"/>
      <c r="FVW50" s="45"/>
      <c r="FVX50" s="45"/>
      <c r="FVY50" s="45"/>
      <c r="FVZ50" s="45"/>
      <c r="FWA50" s="45"/>
      <c r="FWB50" s="45"/>
      <c r="FWC50" s="45"/>
      <c r="FWD50" s="45"/>
      <c r="FWE50" s="45"/>
      <c r="FWF50" s="45"/>
      <c r="FWG50" s="45"/>
      <c r="FWH50" s="45"/>
      <c r="FWI50" s="45"/>
      <c r="FWJ50" s="45"/>
      <c r="FWK50" s="45"/>
      <c r="FWL50" s="45"/>
      <c r="FWM50" s="45"/>
      <c r="FWN50" s="45"/>
      <c r="FWO50" s="45"/>
      <c r="FWP50" s="45"/>
      <c r="FWQ50" s="45"/>
      <c r="FWR50" s="45"/>
      <c r="FWS50" s="45"/>
      <c r="FWT50" s="45"/>
      <c r="FWU50" s="45"/>
      <c r="FWV50" s="45"/>
      <c r="FWW50" s="45"/>
      <c r="FWX50" s="45"/>
      <c r="FWY50" s="45"/>
      <c r="FWZ50" s="45"/>
      <c r="FXA50" s="45"/>
      <c r="FXB50" s="45"/>
      <c r="FXC50" s="45"/>
      <c r="FXD50" s="45"/>
      <c r="FXE50" s="45"/>
      <c r="FXF50" s="45"/>
      <c r="FXG50" s="45"/>
      <c r="FXH50" s="45"/>
      <c r="FXI50" s="45"/>
      <c r="FXJ50" s="45"/>
      <c r="FXK50" s="45"/>
      <c r="FXL50" s="45"/>
      <c r="FXM50" s="45"/>
      <c r="FXN50" s="45"/>
      <c r="FXO50" s="45"/>
      <c r="FXP50" s="45"/>
      <c r="FXQ50" s="45"/>
      <c r="FXR50" s="45"/>
      <c r="FXS50" s="45"/>
      <c r="FXT50" s="45"/>
      <c r="FXU50" s="45"/>
      <c r="FXV50" s="45"/>
      <c r="FXW50" s="45"/>
      <c r="FXX50" s="45"/>
      <c r="FXY50" s="45"/>
      <c r="FXZ50" s="45"/>
      <c r="FYA50" s="45"/>
      <c r="FYB50" s="45"/>
      <c r="FYC50" s="45"/>
      <c r="FYD50" s="45"/>
      <c r="FYE50" s="45"/>
      <c r="FYF50" s="45"/>
      <c r="FYG50" s="45"/>
      <c r="FYH50" s="45"/>
      <c r="FYI50" s="45"/>
      <c r="FYJ50" s="45"/>
      <c r="FYK50" s="45"/>
      <c r="FYL50" s="45"/>
      <c r="FYM50" s="45"/>
      <c r="FYN50" s="45"/>
      <c r="FYO50" s="45"/>
      <c r="FYP50" s="45"/>
      <c r="FYQ50" s="45"/>
      <c r="FYR50" s="45"/>
      <c r="FYS50" s="45"/>
      <c r="FYT50" s="45"/>
      <c r="FYU50" s="45"/>
      <c r="FYV50" s="45"/>
      <c r="FYW50" s="45"/>
      <c r="FYX50" s="45"/>
      <c r="FYY50" s="45"/>
      <c r="FYZ50" s="45"/>
      <c r="FZA50" s="45"/>
      <c r="FZB50" s="45"/>
      <c r="FZC50" s="45"/>
      <c r="FZD50" s="45"/>
      <c r="FZE50" s="45"/>
      <c r="FZF50" s="45"/>
      <c r="FZG50" s="45"/>
      <c r="FZH50" s="45"/>
      <c r="FZI50" s="45"/>
      <c r="FZJ50" s="45"/>
      <c r="FZK50" s="45"/>
      <c r="FZL50" s="45"/>
      <c r="FZM50" s="45"/>
      <c r="FZN50" s="45"/>
      <c r="FZO50" s="45"/>
      <c r="FZP50" s="45"/>
      <c r="FZQ50" s="45"/>
      <c r="FZR50" s="45"/>
      <c r="FZS50" s="45"/>
      <c r="FZT50" s="45"/>
      <c r="FZU50" s="45"/>
      <c r="FZV50" s="45"/>
      <c r="FZW50" s="45"/>
      <c r="FZX50" s="45"/>
      <c r="FZY50" s="45"/>
      <c r="FZZ50" s="45"/>
      <c r="GAA50" s="45"/>
      <c r="GAB50" s="45"/>
      <c r="GAC50" s="45"/>
      <c r="GAD50" s="45"/>
      <c r="GAE50" s="45"/>
      <c r="GAF50" s="45"/>
      <c r="GAG50" s="45"/>
      <c r="GAH50" s="45"/>
      <c r="GAI50" s="45"/>
      <c r="GAJ50" s="45"/>
      <c r="GAK50" s="45"/>
      <c r="GAL50" s="45"/>
      <c r="GAM50" s="45"/>
      <c r="GAN50" s="45"/>
      <c r="GAO50" s="45"/>
      <c r="GAP50" s="45"/>
      <c r="GAQ50" s="45"/>
      <c r="GAR50" s="45"/>
      <c r="GAS50" s="45"/>
      <c r="GAT50" s="45"/>
      <c r="GAU50" s="45"/>
      <c r="GAV50" s="45"/>
      <c r="GAW50" s="45"/>
      <c r="GAX50" s="45"/>
      <c r="GAY50" s="45"/>
      <c r="GAZ50" s="45"/>
      <c r="GBA50" s="45"/>
      <c r="GBB50" s="45"/>
      <c r="GBC50" s="45"/>
      <c r="GBD50" s="45"/>
      <c r="GBE50" s="45"/>
      <c r="GBF50" s="45"/>
      <c r="GBG50" s="45"/>
      <c r="GBH50" s="45"/>
      <c r="GBI50" s="45"/>
      <c r="GBJ50" s="45"/>
      <c r="GBK50" s="45"/>
      <c r="GBL50" s="45"/>
      <c r="GBM50" s="45"/>
      <c r="GBN50" s="45"/>
      <c r="GBO50" s="45"/>
      <c r="GBP50" s="45"/>
      <c r="GBQ50" s="45"/>
      <c r="GBR50" s="45"/>
      <c r="GBS50" s="45"/>
      <c r="GBT50" s="45"/>
      <c r="GBU50" s="45"/>
      <c r="GBV50" s="45"/>
      <c r="GBW50" s="45"/>
      <c r="GBX50" s="45"/>
      <c r="GBY50" s="45"/>
      <c r="GBZ50" s="45"/>
      <c r="GCA50" s="45"/>
      <c r="GCB50" s="45"/>
      <c r="GCC50" s="45"/>
      <c r="GCD50" s="45"/>
      <c r="GCE50" s="45"/>
      <c r="GCF50" s="45"/>
      <c r="GCG50" s="45"/>
      <c r="GCH50" s="45"/>
      <c r="GCI50" s="45"/>
      <c r="GCJ50" s="45"/>
      <c r="GCK50" s="45"/>
      <c r="GCL50" s="45"/>
      <c r="GCM50" s="45"/>
      <c r="GCN50" s="45"/>
      <c r="GCO50" s="45"/>
      <c r="GCP50" s="45"/>
      <c r="GCQ50" s="45"/>
      <c r="GCR50" s="45"/>
      <c r="GCS50" s="45"/>
      <c r="GCT50" s="45"/>
      <c r="GCU50" s="45"/>
      <c r="GCV50" s="45"/>
      <c r="GCW50" s="45"/>
      <c r="GCX50" s="45"/>
      <c r="GCY50" s="45"/>
      <c r="GCZ50" s="45"/>
      <c r="GDA50" s="45"/>
      <c r="GDB50" s="45"/>
      <c r="GDC50" s="45"/>
      <c r="GDD50" s="45"/>
      <c r="GDE50" s="45"/>
      <c r="GDF50" s="45"/>
      <c r="GDG50" s="45"/>
      <c r="GDH50" s="45"/>
      <c r="GDI50" s="45"/>
      <c r="GDJ50" s="45"/>
      <c r="GDK50" s="45"/>
      <c r="GDL50" s="45"/>
      <c r="GDM50" s="45"/>
      <c r="GDN50" s="45"/>
      <c r="GDO50" s="45"/>
      <c r="GDP50" s="45"/>
      <c r="GDQ50" s="45"/>
      <c r="GDR50" s="45"/>
      <c r="GDS50" s="45"/>
      <c r="GDT50" s="45"/>
      <c r="GDU50" s="45"/>
      <c r="GDV50" s="45"/>
      <c r="GDW50" s="45"/>
      <c r="GDX50" s="45"/>
      <c r="GDY50" s="45"/>
      <c r="GDZ50" s="45"/>
      <c r="GEA50" s="45"/>
      <c r="GEB50" s="45"/>
      <c r="GEC50" s="45"/>
      <c r="GED50" s="45"/>
      <c r="GEE50" s="45"/>
      <c r="GEF50" s="45"/>
      <c r="GEG50" s="45"/>
      <c r="GEH50" s="45"/>
      <c r="GEI50" s="45"/>
      <c r="GEJ50" s="45"/>
      <c r="GEK50" s="45"/>
      <c r="GEL50" s="45"/>
      <c r="GEM50" s="45"/>
      <c r="GEN50" s="45"/>
      <c r="GEO50" s="45"/>
      <c r="GEP50" s="45"/>
      <c r="GEQ50" s="45"/>
      <c r="GER50" s="45"/>
      <c r="GES50" s="45"/>
      <c r="GET50" s="45"/>
      <c r="GEU50" s="45"/>
      <c r="GEV50" s="45"/>
      <c r="GEW50" s="45"/>
      <c r="GEX50" s="45"/>
      <c r="GEY50" s="45"/>
      <c r="GEZ50" s="45"/>
      <c r="GFA50" s="45"/>
      <c r="GFB50" s="45"/>
      <c r="GFC50" s="45"/>
      <c r="GFD50" s="45"/>
      <c r="GFE50" s="45"/>
      <c r="GFF50" s="45"/>
      <c r="GFG50" s="45"/>
      <c r="GFH50" s="45"/>
      <c r="GFI50" s="45"/>
      <c r="GFJ50" s="45"/>
      <c r="GFK50" s="45"/>
      <c r="GFL50" s="45"/>
      <c r="GFM50" s="45"/>
      <c r="GFN50" s="45"/>
      <c r="GFO50" s="45"/>
      <c r="GFP50" s="45"/>
      <c r="GFQ50" s="45"/>
      <c r="GFR50" s="45"/>
      <c r="GFS50" s="45"/>
      <c r="GFT50" s="45"/>
      <c r="GFU50" s="45"/>
      <c r="GFV50" s="45"/>
      <c r="GFW50" s="45"/>
      <c r="GFX50" s="45"/>
      <c r="GFY50" s="45"/>
      <c r="GFZ50" s="45"/>
      <c r="GGA50" s="45"/>
      <c r="GGB50" s="45"/>
      <c r="GGC50" s="45"/>
      <c r="GGD50" s="45"/>
      <c r="GGE50" s="45"/>
      <c r="GGF50" s="45"/>
      <c r="GGG50" s="45"/>
      <c r="GGH50" s="45"/>
      <c r="GGI50" s="45"/>
      <c r="GGJ50" s="45"/>
      <c r="GGK50" s="45"/>
      <c r="GGL50" s="45"/>
      <c r="GGM50" s="45"/>
      <c r="GGN50" s="45"/>
      <c r="GGO50" s="45"/>
      <c r="GGP50" s="45"/>
      <c r="GGQ50" s="45"/>
      <c r="GGR50" s="45"/>
      <c r="GGS50" s="45"/>
      <c r="GGT50" s="45"/>
      <c r="GGU50" s="45"/>
      <c r="GGV50" s="45"/>
      <c r="GGW50" s="45"/>
      <c r="GGX50" s="45"/>
      <c r="GGY50" s="45"/>
      <c r="GGZ50" s="45"/>
      <c r="GHA50" s="45"/>
      <c r="GHB50" s="45"/>
      <c r="GHC50" s="45"/>
      <c r="GHD50" s="45"/>
      <c r="GHE50" s="45"/>
      <c r="GHF50" s="45"/>
      <c r="GHG50" s="45"/>
      <c r="GHH50" s="45"/>
      <c r="GHI50" s="45"/>
      <c r="GHJ50" s="45"/>
      <c r="GHK50" s="45"/>
      <c r="GHL50" s="45"/>
      <c r="GHM50" s="45"/>
      <c r="GHN50" s="45"/>
      <c r="GHO50" s="45"/>
      <c r="GHP50" s="45"/>
      <c r="GHQ50" s="45"/>
      <c r="GHR50" s="45"/>
      <c r="GHS50" s="45"/>
      <c r="GHT50" s="45"/>
      <c r="GHU50" s="45"/>
      <c r="GHV50" s="45"/>
      <c r="GHW50" s="45"/>
      <c r="GHX50" s="45"/>
      <c r="GHY50" s="45"/>
      <c r="GHZ50" s="45"/>
      <c r="GIA50" s="45"/>
      <c r="GIB50" s="45"/>
      <c r="GIC50" s="45"/>
      <c r="GID50" s="45"/>
      <c r="GIE50" s="45"/>
      <c r="GIF50" s="45"/>
      <c r="GIG50" s="45"/>
      <c r="GIH50" s="45"/>
      <c r="GII50" s="45"/>
      <c r="GIJ50" s="45"/>
      <c r="GIK50" s="45"/>
      <c r="GIL50" s="45"/>
      <c r="GIM50" s="45"/>
      <c r="GIN50" s="45"/>
      <c r="GIO50" s="45"/>
      <c r="GIP50" s="45"/>
      <c r="GIQ50" s="45"/>
      <c r="GIR50" s="45"/>
      <c r="GIS50" s="45"/>
      <c r="GIT50" s="45"/>
      <c r="GIU50" s="45"/>
      <c r="GIV50" s="45"/>
      <c r="GIW50" s="45"/>
      <c r="GIX50" s="45"/>
      <c r="GIY50" s="45"/>
      <c r="GIZ50" s="45"/>
      <c r="GJA50" s="45"/>
      <c r="GJB50" s="45"/>
      <c r="GJC50" s="45"/>
      <c r="GJD50" s="45"/>
      <c r="GJE50" s="45"/>
      <c r="GJF50" s="45"/>
      <c r="GJG50" s="45"/>
      <c r="GJH50" s="45"/>
      <c r="GJI50" s="45"/>
      <c r="GJJ50" s="45"/>
      <c r="GJK50" s="45"/>
      <c r="GJL50" s="45"/>
      <c r="GJM50" s="45"/>
      <c r="GJN50" s="45"/>
      <c r="GJO50" s="45"/>
      <c r="GJP50" s="45"/>
      <c r="GJQ50" s="45"/>
      <c r="GJR50" s="45"/>
      <c r="GJS50" s="45"/>
      <c r="GJT50" s="45"/>
      <c r="GJU50" s="45"/>
      <c r="GJV50" s="45"/>
      <c r="GJW50" s="45"/>
      <c r="GJX50" s="45"/>
      <c r="GJY50" s="45"/>
      <c r="GJZ50" s="45"/>
      <c r="GKA50" s="45"/>
      <c r="GKB50" s="45"/>
      <c r="GKC50" s="45"/>
      <c r="GKD50" s="45"/>
      <c r="GKE50" s="45"/>
      <c r="GKF50" s="45"/>
      <c r="GKG50" s="45"/>
      <c r="GKH50" s="45"/>
      <c r="GKI50" s="45"/>
      <c r="GKJ50" s="45"/>
      <c r="GKK50" s="45"/>
      <c r="GKL50" s="45"/>
      <c r="GKM50" s="45"/>
      <c r="GKN50" s="45"/>
      <c r="GKO50" s="45"/>
      <c r="GKP50" s="45"/>
      <c r="GKQ50" s="45"/>
      <c r="GKR50" s="45"/>
      <c r="GKS50" s="45"/>
      <c r="GKT50" s="45"/>
      <c r="GKU50" s="45"/>
      <c r="GKV50" s="45"/>
      <c r="GKW50" s="45"/>
      <c r="GKX50" s="45"/>
      <c r="GKY50" s="45"/>
      <c r="GKZ50" s="45"/>
      <c r="GLA50" s="45"/>
      <c r="GLB50" s="45"/>
      <c r="GLC50" s="45"/>
      <c r="GLD50" s="45"/>
      <c r="GLE50" s="45"/>
      <c r="GLF50" s="45"/>
      <c r="GLG50" s="45"/>
      <c r="GLH50" s="45"/>
      <c r="GLI50" s="45"/>
      <c r="GLJ50" s="45"/>
      <c r="GLK50" s="45"/>
      <c r="GLL50" s="45"/>
      <c r="GLM50" s="45"/>
      <c r="GLN50" s="45"/>
      <c r="GLO50" s="45"/>
      <c r="GLP50" s="45"/>
      <c r="GLQ50" s="45"/>
      <c r="GLR50" s="45"/>
      <c r="GLS50" s="45"/>
      <c r="GLT50" s="45"/>
      <c r="GLU50" s="45"/>
      <c r="GLV50" s="45"/>
      <c r="GLW50" s="45"/>
      <c r="GLX50" s="45"/>
      <c r="GLY50" s="45"/>
      <c r="GLZ50" s="45"/>
      <c r="GMA50" s="45"/>
      <c r="GMB50" s="45"/>
      <c r="GMC50" s="45"/>
      <c r="GMD50" s="45"/>
      <c r="GME50" s="45"/>
      <c r="GMF50" s="45"/>
      <c r="GMG50" s="45"/>
      <c r="GMH50" s="45"/>
      <c r="GMI50" s="45"/>
      <c r="GMJ50" s="45"/>
      <c r="GMK50" s="45"/>
      <c r="GML50" s="45"/>
      <c r="GMM50" s="45"/>
      <c r="GMN50" s="45"/>
      <c r="GMO50" s="45"/>
      <c r="GMP50" s="45"/>
      <c r="GMQ50" s="45"/>
      <c r="GMR50" s="45"/>
      <c r="GMS50" s="45"/>
      <c r="GMT50" s="45"/>
      <c r="GMU50" s="45"/>
      <c r="GMV50" s="45"/>
      <c r="GMW50" s="45"/>
      <c r="GMX50" s="45"/>
      <c r="GMY50" s="45"/>
      <c r="GMZ50" s="45"/>
      <c r="GNA50" s="45"/>
      <c r="GNB50" s="45"/>
      <c r="GNC50" s="45"/>
      <c r="GND50" s="45"/>
      <c r="GNE50" s="45"/>
      <c r="GNF50" s="45"/>
      <c r="GNG50" s="45"/>
      <c r="GNH50" s="45"/>
      <c r="GNI50" s="45"/>
      <c r="GNJ50" s="45"/>
      <c r="GNK50" s="45"/>
      <c r="GNL50" s="45"/>
      <c r="GNM50" s="45"/>
      <c r="GNN50" s="45"/>
      <c r="GNO50" s="45"/>
      <c r="GNP50" s="45"/>
      <c r="GNQ50" s="45"/>
      <c r="GNR50" s="45"/>
      <c r="GNS50" s="45"/>
      <c r="GNT50" s="45"/>
      <c r="GNU50" s="45"/>
      <c r="GNV50" s="45"/>
      <c r="GNW50" s="45"/>
      <c r="GNX50" s="45"/>
      <c r="GNY50" s="45"/>
      <c r="GNZ50" s="45"/>
      <c r="GOA50" s="45"/>
      <c r="GOB50" s="45"/>
      <c r="GOC50" s="45"/>
      <c r="GOD50" s="45"/>
      <c r="GOE50" s="45"/>
      <c r="GOF50" s="45"/>
      <c r="GOG50" s="45"/>
      <c r="GOH50" s="45"/>
      <c r="GOI50" s="45"/>
      <c r="GOJ50" s="45"/>
      <c r="GOK50" s="45"/>
      <c r="GOL50" s="45"/>
      <c r="GOM50" s="45"/>
      <c r="GON50" s="45"/>
      <c r="GOO50" s="45"/>
      <c r="GOP50" s="45"/>
      <c r="GOQ50" s="45"/>
      <c r="GOR50" s="45"/>
      <c r="GOS50" s="45"/>
      <c r="GOT50" s="45"/>
      <c r="GOU50" s="45"/>
      <c r="GOV50" s="45"/>
      <c r="GOW50" s="45"/>
      <c r="GOX50" s="45"/>
      <c r="GOY50" s="45"/>
      <c r="GOZ50" s="45"/>
      <c r="GPA50" s="45"/>
      <c r="GPB50" s="45"/>
      <c r="GPC50" s="45"/>
      <c r="GPD50" s="45"/>
      <c r="GPE50" s="45"/>
      <c r="GPF50" s="45"/>
      <c r="GPG50" s="45"/>
      <c r="GPH50" s="45"/>
      <c r="GPI50" s="45"/>
      <c r="GPJ50" s="45"/>
      <c r="GPK50" s="45"/>
      <c r="GPL50" s="45"/>
      <c r="GPM50" s="45"/>
      <c r="GPN50" s="45"/>
      <c r="GPO50" s="45"/>
      <c r="GPP50" s="45"/>
      <c r="GPQ50" s="45"/>
      <c r="GPR50" s="45"/>
      <c r="GPS50" s="45"/>
      <c r="GPT50" s="45"/>
      <c r="GPU50" s="45"/>
      <c r="GPV50" s="45"/>
      <c r="GPW50" s="45"/>
      <c r="GPX50" s="45"/>
      <c r="GPY50" s="45"/>
      <c r="GPZ50" s="45"/>
      <c r="GQA50" s="45"/>
      <c r="GQB50" s="45"/>
      <c r="GQC50" s="45"/>
      <c r="GQD50" s="45"/>
      <c r="GQE50" s="45"/>
      <c r="GQF50" s="45"/>
      <c r="GQG50" s="45"/>
      <c r="GQH50" s="45"/>
      <c r="GQI50" s="45"/>
      <c r="GQJ50" s="45"/>
      <c r="GQK50" s="45"/>
      <c r="GQL50" s="45"/>
      <c r="GQM50" s="45"/>
      <c r="GQN50" s="45"/>
      <c r="GQO50" s="45"/>
      <c r="GQP50" s="45"/>
      <c r="GQQ50" s="45"/>
      <c r="GQR50" s="45"/>
      <c r="GQS50" s="45"/>
      <c r="GQT50" s="45"/>
      <c r="GQU50" s="45"/>
      <c r="GQV50" s="45"/>
      <c r="GQW50" s="45"/>
      <c r="GQX50" s="45"/>
      <c r="GQY50" s="45"/>
      <c r="GQZ50" s="45"/>
      <c r="GRA50" s="45"/>
      <c r="GRB50" s="45"/>
      <c r="GRC50" s="45"/>
      <c r="GRD50" s="45"/>
      <c r="GRE50" s="45"/>
      <c r="GRF50" s="45"/>
      <c r="GRG50" s="45"/>
      <c r="GRH50" s="45"/>
      <c r="GRI50" s="45"/>
      <c r="GRJ50" s="45"/>
      <c r="GRK50" s="45"/>
      <c r="GRL50" s="45"/>
      <c r="GRM50" s="45"/>
      <c r="GRN50" s="45"/>
      <c r="GRO50" s="45"/>
      <c r="GRP50" s="45"/>
      <c r="GRQ50" s="45"/>
      <c r="GRR50" s="45"/>
      <c r="GRS50" s="45"/>
      <c r="GRT50" s="45"/>
      <c r="GRU50" s="45"/>
      <c r="GRV50" s="45"/>
      <c r="GRW50" s="45"/>
      <c r="GRX50" s="45"/>
      <c r="GRY50" s="45"/>
      <c r="GRZ50" s="45"/>
      <c r="GSA50" s="45"/>
      <c r="GSB50" s="45"/>
      <c r="GSC50" s="45"/>
      <c r="GSD50" s="45"/>
      <c r="GSE50" s="45"/>
      <c r="GSF50" s="45"/>
      <c r="GSG50" s="45"/>
      <c r="GSH50" s="45"/>
      <c r="GSI50" s="45"/>
      <c r="GSJ50" s="45"/>
      <c r="GSK50" s="45"/>
      <c r="GSL50" s="45"/>
      <c r="GSM50" s="45"/>
      <c r="GSN50" s="45"/>
      <c r="GSO50" s="45"/>
      <c r="GSP50" s="45"/>
      <c r="GSQ50" s="45"/>
      <c r="GSR50" s="45"/>
      <c r="GSS50" s="45"/>
      <c r="GST50" s="45"/>
      <c r="GSU50" s="45"/>
      <c r="GSV50" s="45"/>
      <c r="GSW50" s="45"/>
      <c r="GSX50" s="45"/>
      <c r="GSY50" s="45"/>
      <c r="GSZ50" s="45"/>
      <c r="GTA50" s="45"/>
      <c r="GTB50" s="45"/>
      <c r="GTC50" s="45"/>
      <c r="GTD50" s="45"/>
      <c r="GTE50" s="45"/>
      <c r="GTF50" s="45"/>
      <c r="GTG50" s="45"/>
      <c r="GTH50" s="45"/>
      <c r="GTI50" s="45"/>
      <c r="GTJ50" s="45"/>
      <c r="GTK50" s="45"/>
      <c r="GTL50" s="45"/>
      <c r="GTM50" s="45"/>
      <c r="GTN50" s="45"/>
      <c r="GTO50" s="45"/>
      <c r="GTP50" s="45"/>
      <c r="GTQ50" s="45"/>
      <c r="GTR50" s="45"/>
      <c r="GTS50" s="45"/>
      <c r="GTT50" s="45"/>
      <c r="GTU50" s="45"/>
      <c r="GTV50" s="45"/>
      <c r="GTW50" s="45"/>
      <c r="GTX50" s="45"/>
      <c r="GTY50" s="45"/>
      <c r="GTZ50" s="45"/>
      <c r="GUA50" s="45"/>
      <c r="GUB50" s="45"/>
      <c r="GUC50" s="45"/>
      <c r="GUD50" s="45"/>
      <c r="GUE50" s="45"/>
      <c r="GUF50" s="45"/>
      <c r="GUG50" s="45"/>
      <c r="GUH50" s="45"/>
      <c r="GUI50" s="45"/>
      <c r="GUJ50" s="45"/>
      <c r="GUK50" s="45"/>
      <c r="GUL50" s="45"/>
      <c r="GUM50" s="45"/>
      <c r="GUN50" s="45"/>
      <c r="GUO50" s="45"/>
      <c r="GUP50" s="45"/>
      <c r="GUQ50" s="45"/>
      <c r="GUR50" s="45"/>
      <c r="GUS50" s="45"/>
      <c r="GUT50" s="45"/>
      <c r="GUU50" s="45"/>
      <c r="GUV50" s="45"/>
      <c r="GUW50" s="45"/>
      <c r="GUX50" s="45"/>
      <c r="GUY50" s="45"/>
      <c r="GUZ50" s="45"/>
      <c r="GVA50" s="45"/>
      <c r="GVB50" s="45"/>
      <c r="GVC50" s="45"/>
      <c r="GVD50" s="45"/>
      <c r="GVE50" s="45"/>
      <c r="GVF50" s="45"/>
      <c r="GVG50" s="45"/>
      <c r="GVH50" s="45"/>
      <c r="GVI50" s="45"/>
      <c r="GVJ50" s="45"/>
      <c r="GVK50" s="45"/>
      <c r="GVL50" s="45"/>
      <c r="GVM50" s="45"/>
      <c r="GVN50" s="45"/>
      <c r="GVO50" s="45"/>
      <c r="GVP50" s="45"/>
      <c r="GVQ50" s="45"/>
      <c r="GVR50" s="45"/>
      <c r="GVS50" s="45"/>
      <c r="GVT50" s="45"/>
      <c r="GVU50" s="45"/>
      <c r="GVV50" s="45"/>
      <c r="GVW50" s="45"/>
      <c r="GVX50" s="45"/>
      <c r="GVY50" s="45"/>
      <c r="GVZ50" s="45"/>
      <c r="GWA50" s="45"/>
      <c r="GWB50" s="45"/>
      <c r="GWC50" s="45"/>
      <c r="GWD50" s="45"/>
      <c r="GWE50" s="45"/>
      <c r="GWF50" s="45"/>
      <c r="GWG50" s="45"/>
      <c r="GWH50" s="45"/>
      <c r="GWI50" s="45"/>
      <c r="GWJ50" s="45"/>
      <c r="GWK50" s="45"/>
      <c r="GWL50" s="45"/>
      <c r="GWM50" s="45"/>
      <c r="GWN50" s="45"/>
      <c r="GWO50" s="45"/>
      <c r="GWP50" s="45"/>
      <c r="GWQ50" s="45"/>
      <c r="GWR50" s="45"/>
      <c r="GWS50" s="45"/>
      <c r="GWT50" s="45"/>
      <c r="GWU50" s="45"/>
      <c r="GWV50" s="45"/>
      <c r="GWW50" s="45"/>
      <c r="GWX50" s="45"/>
      <c r="GWY50" s="45"/>
      <c r="GWZ50" s="45"/>
      <c r="GXA50" s="45"/>
      <c r="GXB50" s="45"/>
      <c r="GXC50" s="45"/>
      <c r="GXD50" s="45"/>
      <c r="GXE50" s="45"/>
      <c r="GXF50" s="45"/>
      <c r="GXG50" s="45"/>
      <c r="GXH50" s="45"/>
      <c r="GXI50" s="45"/>
      <c r="GXJ50" s="45"/>
      <c r="GXK50" s="45"/>
      <c r="GXL50" s="45"/>
      <c r="GXM50" s="45"/>
      <c r="GXN50" s="45"/>
      <c r="GXO50" s="45"/>
      <c r="GXP50" s="45"/>
      <c r="GXQ50" s="45"/>
      <c r="GXR50" s="45"/>
      <c r="GXS50" s="45"/>
      <c r="GXT50" s="45"/>
      <c r="GXU50" s="45"/>
      <c r="GXV50" s="45"/>
      <c r="GXW50" s="45"/>
      <c r="GXX50" s="45"/>
      <c r="GXY50" s="45"/>
      <c r="GXZ50" s="45"/>
      <c r="GYA50" s="45"/>
      <c r="GYB50" s="45"/>
      <c r="GYC50" s="45"/>
      <c r="GYD50" s="45"/>
      <c r="GYE50" s="45"/>
      <c r="GYF50" s="45"/>
      <c r="GYG50" s="45"/>
      <c r="GYH50" s="45"/>
      <c r="GYI50" s="45"/>
      <c r="GYJ50" s="45"/>
      <c r="GYK50" s="45"/>
      <c r="GYL50" s="45"/>
      <c r="GYM50" s="45"/>
      <c r="GYN50" s="45"/>
      <c r="GYO50" s="45"/>
      <c r="GYP50" s="45"/>
      <c r="GYQ50" s="45"/>
      <c r="GYR50" s="45"/>
      <c r="GYS50" s="45"/>
      <c r="GYT50" s="45"/>
      <c r="GYU50" s="45"/>
      <c r="GYV50" s="45"/>
      <c r="GYW50" s="45"/>
      <c r="GYX50" s="45"/>
      <c r="GYY50" s="45"/>
      <c r="GYZ50" s="45"/>
      <c r="GZA50" s="45"/>
      <c r="GZB50" s="45"/>
      <c r="GZC50" s="45"/>
      <c r="GZD50" s="45"/>
      <c r="GZE50" s="45"/>
      <c r="GZF50" s="45"/>
      <c r="GZG50" s="45"/>
      <c r="GZH50" s="45"/>
      <c r="GZI50" s="45"/>
      <c r="GZJ50" s="45"/>
      <c r="GZK50" s="45"/>
      <c r="GZL50" s="45"/>
      <c r="GZM50" s="45"/>
      <c r="GZN50" s="45"/>
      <c r="GZO50" s="45"/>
      <c r="GZP50" s="45"/>
      <c r="GZQ50" s="45"/>
      <c r="GZR50" s="45"/>
      <c r="GZS50" s="45"/>
      <c r="GZT50" s="45"/>
      <c r="GZU50" s="45"/>
      <c r="GZV50" s="45"/>
      <c r="GZW50" s="45"/>
      <c r="GZX50" s="45"/>
      <c r="GZY50" s="45"/>
      <c r="GZZ50" s="45"/>
      <c r="HAA50" s="45"/>
      <c r="HAB50" s="45"/>
      <c r="HAC50" s="45"/>
      <c r="HAD50" s="45"/>
      <c r="HAE50" s="45"/>
      <c r="HAF50" s="45"/>
      <c r="HAG50" s="45"/>
      <c r="HAH50" s="45"/>
      <c r="HAI50" s="45"/>
      <c r="HAJ50" s="45"/>
      <c r="HAK50" s="45"/>
      <c r="HAL50" s="45"/>
      <c r="HAM50" s="45"/>
      <c r="HAN50" s="45"/>
      <c r="HAO50" s="45"/>
      <c r="HAP50" s="45"/>
      <c r="HAQ50" s="45"/>
      <c r="HAR50" s="45"/>
      <c r="HAS50" s="45"/>
      <c r="HAT50" s="45"/>
      <c r="HAU50" s="45"/>
      <c r="HAV50" s="45"/>
      <c r="HAW50" s="45"/>
      <c r="HAX50" s="45"/>
      <c r="HAY50" s="45"/>
      <c r="HAZ50" s="45"/>
      <c r="HBA50" s="45"/>
      <c r="HBB50" s="45"/>
      <c r="HBC50" s="45"/>
      <c r="HBD50" s="45"/>
      <c r="HBE50" s="45"/>
      <c r="HBF50" s="45"/>
      <c r="HBG50" s="45"/>
      <c r="HBH50" s="45"/>
      <c r="HBI50" s="45"/>
      <c r="HBJ50" s="45"/>
      <c r="HBK50" s="45"/>
      <c r="HBL50" s="45"/>
      <c r="HBM50" s="45"/>
      <c r="HBN50" s="45"/>
      <c r="HBO50" s="45"/>
      <c r="HBP50" s="45"/>
      <c r="HBQ50" s="45"/>
      <c r="HBR50" s="45"/>
      <c r="HBS50" s="45"/>
      <c r="HBT50" s="45"/>
      <c r="HBU50" s="45"/>
      <c r="HBV50" s="45"/>
      <c r="HBW50" s="45"/>
      <c r="HBX50" s="45"/>
      <c r="HBY50" s="45"/>
      <c r="HBZ50" s="45"/>
      <c r="HCA50" s="45"/>
      <c r="HCB50" s="45"/>
      <c r="HCC50" s="45"/>
      <c r="HCD50" s="45"/>
      <c r="HCE50" s="45"/>
      <c r="HCF50" s="45"/>
      <c r="HCG50" s="45"/>
      <c r="HCH50" s="45"/>
      <c r="HCI50" s="45"/>
      <c r="HCJ50" s="45"/>
      <c r="HCK50" s="45"/>
      <c r="HCL50" s="45"/>
      <c r="HCM50" s="45"/>
      <c r="HCN50" s="45"/>
      <c r="HCO50" s="45"/>
      <c r="HCP50" s="45"/>
      <c r="HCQ50" s="45"/>
      <c r="HCR50" s="45"/>
      <c r="HCS50" s="45"/>
      <c r="HCT50" s="45"/>
      <c r="HCU50" s="45"/>
      <c r="HCV50" s="45"/>
      <c r="HCW50" s="45"/>
      <c r="HCX50" s="45"/>
      <c r="HCY50" s="45"/>
      <c r="HCZ50" s="45"/>
      <c r="HDA50" s="45"/>
      <c r="HDB50" s="45"/>
      <c r="HDC50" s="45"/>
      <c r="HDD50" s="45"/>
      <c r="HDE50" s="45"/>
      <c r="HDF50" s="45"/>
      <c r="HDG50" s="45"/>
      <c r="HDH50" s="45"/>
      <c r="HDI50" s="45"/>
      <c r="HDJ50" s="45"/>
      <c r="HDK50" s="45"/>
      <c r="HDL50" s="45"/>
      <c r="HDM50" s="45"/>
      <c r="HDN50" s="45"/>
      <c r="HDO50" s="45"/>
      <c r="HDP50" s="45"/>
      <c r="HDQ50" s="45"/>
      <c r="HDR50" s="45"/>
      <c r="HDS50" s="45"/>
      <c r="HDT50" s="45"/>
      <c r="HDU50" s="45"/>
      <c r="HDV50" s="45"/>
      <c r="HDW50" s="45"/>
      <c r="HDX50" s="45"/>
      <c r="HDY50" s="45"/>
      <c r="HDZ50" s="45"/>
      <c r="HEA50" s="45"/>
      <c r="HEB50" s="45"/>
      <c r="HEC50" s="45"/>
      <c r="HED50" s="45"/>
      <c r="HEE50" s="45"/>
      <c r="HEF50" s="45"/>
      <c r="HEG50" s="45"/>
      <c r="HEH50" s="45"/>
      <c r="HEI50" s="45"/>
      <c r="HEJ50" s="45"/>
      <c r="HEK50" s="45"/>
      <c r="HEL50" s="45"/>
      <c r="HEM50" s="45"/>
      <c r="HEN50" s="45"/>
      <c r="HEO50" s="45"/>
      <c r="HEP50" s="45"/>
      <c r="HEQ50" s="45"/>
      <c r="HER50" s="45"/>
      <c r="HES50" s="45"/>
      <c r="HET50" s="45"/>
      <c r="HEU50" s="45"/>
      <c r="HEV50" s="45"/>
      <c r="HEW50" s="45"/>
      <c r="HEX50" s="45"/>
      <c r="HEY50" s="45"/>
      <c r="HEZ50" s="45"/>
      <c r="HFA50" s="45"/>
      <c r="HFB50" s="45"/>
      <c r="HFC50" s="45"/>
      <c r="HFD50" s="45"/>
      <c r="HFE50" s="45"/>
      <c r="HFF50" s="45"/>
      <c r="HFG50" s="45"/>
      <c r="HFH50" s="45"/>
      <c r="HFI50" s="45"/>
      <c r="HFJ50" s="45"/>
      <c r="HFK50" s="45"/>
      <c r="HFL50" s="45"/>
      <c r="HFM50" s="45"/>
      <c r="HFN50" s="45"/>
      <c r="HFO50" s="45"/>
      <c r="HFP50" s="45"/>
      <c r="HFQ50" s="45"/>
      <c r="HFR50" s="45"/>
      <c r="HFS50" s="45"/>
      <c r="HFT50" s="45"/>
      <c r="HFU50" s="45"/>
      <c r="HFV50" s="45"/>
      <c r="HFW50" s="45"/>
      <c r="HFX50" s="45"/>
      <c r="HFY50" s="45"/>
      <c r="HFZ50" s="45"/>
      <c r="HGA50" s="45"/>
      <c r="HGB50" s="45"/>
      <c r="HGC50" s="45"/>
      <c r="HGD50" s="45"/>
      <c r="HGE50" s="45"/>
      <c r="HGF50" s="45"/>
      <c r="HGG50" s="45"/>
      <c r="HGH50" s="45"/>
      <c r="HGI50" s="45"/>
      <c r="HGJ50" s="45"/>
      <c r="HGK50" s="45"/>
      <c r="HGL50" s="45"/>
      <c r="HGM50" s="45"/>
      <c r="HGN50" s="45"/>
      <c r="HGO50" s="45"/>
      <c r="HGP50" s="45"/>
      <c r="HGQ50" s="45"/>
      <c r="HGR50" s="45"/>
      <c r="HGS50" s="45"/>
      <c r="HGT50" s="45"/>
      <c r="HGU50" s="45"/>
      <c r="HGV50" s="45"/>
      <c r="HGW50" s="45"/>
      <c r="HGX50" s="45"/>
      <c r="HGY50" s="45"/>
      <c r="HGZ50" s="45"/>
      <c r="HHA50" s="45"/>
      <c r="HHB50" s="45"/>
      <c r="HHC50" s="45"/>
      <c r="HHD50" s="45"/>
      <c r="HHE50" s="45"/>
      <c r="HHF50" s="45"/>
      <c r="HHG50" s="45"/>
      <c r="HHH50" s="45"/>
      <c r="HHI50" s="45"/>
      <c r="HHJ50" s="45"/>
      <c r="HHK50" s="45"/>
      <c r="HHL50" s="45"/>
      <c r="HHM50" s="45"/>
      <c r="HHN50" s="45"/>
      <c r="HHO50" s="45"/>
      <c r="HHP50" s="45"/>
      <c r="HHQ50" s="45"/>
      <c r="HHR50" s="45"/>
      <c r="HHS50" s="45"/>
      <c r="HHT50" s="45"/>
      <c r="HHU50" s="45"/>
      <c r="HHV50" s="45"/>
      <c r="HHW50" s="45"/>
      <c r="HHX50" s="45"/>
      <c r="HHY50" s="45"/>
      <c r="HHZ50" s="45"/>
      <c r="HIA50" s="45"/>
      <c r="HIB50" s="45"/>
      <c r="HIC50" s="45"/>
      <c r="HID50" s="45"/>
      <c r="HIE50" s="45"/>
      <c r="HIF50" s="45"/>
      <c r="HIG50" s="45"/>
      <c r="HIH50" s="45"/>
      <c r="HII50" s="45"/>
      <c r="HIJ50" s="45"/>
      <c r="HIK50" s="45"/>
      <c r="HIL50" s="45"/>
      <c r="HIM50" s="45"/>
      <c r="HIN50" s="45"/>
      <c r="HIO50" s="45"/>
      <c r="HIP50" s="45"/>
      <c r="HIQ50" s="45"/>
      <c r="HIR50" s="45"/>
      <c r="HIS50" s="45"/>
      <c r="HIT50" s="45"/>
      <c r="HIU50" s="45"/>
      <c r="HIV50" s="45"/>
      <c r="HIW50" s="45"/>
      <c r="HIX50" s="45"/>
      <c r="HIY50" s="45"/>
      <c r="HIZ50" s="45"/>
      <c r="HJA50" s="45"/>
      <c r="HJB50" s="45"/>
      <c r="HJC50" s="45"/>
      <c r="HJD50" s="45"/>
      <c r="HJE50" s="45"/>
      <c r="HJF50" s="45"/>
      <c r="HJG50" s="45"/>
      <c r="HJH50" s="45"/>
      <c r="HJI50" s="45"/>
      <c r="HJJ50" s="45"/>
      <c r="HJK50" s="45"/>
      <c r="HJL50" s="45"/>
      <c r="HJM50" s="45"/>
      <c r="HJN50" s="45"/>
      <c r="HJO50" s="45"/>
      <c r="HJP50" s="45"/>
      <c r="HJQ50" s="45"/>
      <c r="HJR50" s="45"/>
      <c r="HJS50" s="45"/>
      <c r="HJT50" s="45"/>
      <c r="HJU50" s="45"/>
      <c r="HJV50" s="45"/>
      <c r="HJW50" s="45"/>
      <c r="HJX50" s="45"/>
      <c r="HJY50" s="45"/>
      <c r="HJZ50" s="45"/>
      <c r="HKA50" s="45"/>
      <c r="HKB50" s="45"/>
      <c r="HKC50" s="45"/>
      <c r="HKD50" s="45"/>
      <c r="HKE50" s="45"/>
      <c r="HKF50" s="45"/>
      <c r="HKG50" s="45"/>
      <c r="HKH50" s="45"/>
      <c r="HKI50" s="45"/>
      <c r="HKJ50" s="45"/>
      <c r="HKK50" s="45"/>
      <c r="HKL50" s="45"/>
      <c r="HKM50" s="45"/>
      <c r="HKN50" s="45"/>
      <c r="HKO50" s="45"/>
      <c r="HKP50" s="45"/>
      <c r="HKQ50" s="45"/>
      <c r="HKR50" s="45"/>
      <c r="HKS50" s="45"/>
      <c r="HKT50" s="45"/>
      <c r="HKU50" s="45"/>
      <c r="HKV50" s="45"/>
      <c r="HKW50" s="45"/>
      <c r="HKX50" s="45"/>
      <c r="HKY50" s="45"/>
      <c r="HKZ50" s="45"/>
      <c r="HLA50" s="45"/>
      <c r="HLB50" s="45"/>
      <c r="HLC50" s="45"/>
      <c r="HLD50" s="45"/>
      <c r="HLE50" s="45"/>
      <c r="HLF50" s="45"/>
      <c r="HLG50" s="45"/>
      <c r="HLH50" s="45"/>
      <c r="HLI50" s="45"/>
      <c r="HLJ50" s="45"/>
      <c r="HLK50" s="45"/>
      <c r="HLL50" s="45"/>
      <c r="HLM50" s="45"/>
      <c r="HLN50" s="45"/>
      <c r="HLO50" s="45"/>
      <c r="HLP50" s="45"/>
      <c r="HLQ50" s="45"/>
      <c r="HLR50" s="45"/>
      <c r="HLS50" s="45"/>
      <c r="HLT50" s="45"/>
      <c r="HLU50" s="45"/>
      <c r="HLV50" s="45"/>
      <c r="HLW50" s="45"/>
      <c r="HLX50" s="45"/>
      <c r="HLY50" s="45"/>
      <c r="HLZ50" s="45"/>
      <c r="HMA50" s="45"/>
      <c r="HMB50" s="45"/>
      <c r="HMC50" s="45"/>
      <c r="HMD50" s="45"/>
      <c r="HME50" s="45"/>
      <c r="HMF50" s="45"/>
      <c r="HMG50" s="45"/>
      <c r="HMH50" s="45"/>
      <c r="HMI50" s="45"/>
      <c r="HMJ50" s="45"/>
      <c r="HMK50" s="45"/>
      <c r="HML50" s="45"/>
      <c r="HMM50" s="45"/>
      <c r="HMN50" s="45"/>
      <c r="HMO50" s="45"/>
      <c r="HMP50" s="45"/>
      <c r="HMQ50" s="45"/>
      <c r="HMR50" s="45"/>
      <c r="HMS50" s="45"/>
      <c r="HMT50" s="45"/>
      <c r="HMU50" s="45"/>
      <c r="HMV50" s="45"/>
      <c r="HMW50" s="45"/>
      <c r="HMX50" s="45"/>
      <c r="HMY50" s="45"/>
      <c r="HMZ50" s="45"/>
      <c r="HNA50" s="45"/>
      <c r="HNB50" s="45"/>
      <c r="HNC50" s="45"/>
      <c r="HND50" s="45"/>
      <c r="HNE50" s="45"/>
      <c r="HNF50" s="45"/>
      <c r="HNG50" s="45"/>
      <c r="HNH50" s="45"/>
      <c r="HNI50" s="45"/>
      <c r="HNJ50" s="45"/>
      <c r="HNK50" s="45"/>
      <c r="HNL50" s="45"/>
      <c r="HNM50" s="45"/>
      <c r="HNN50" s="45"/>
      <c r="HNO50" s="45"/>
      <c r="HNP50" s="45"/>
      <c r="HNQ50" s="45"/>
      <c r="HNR50" s="45"/>
      <c r="HNS50" s="45"/>
      <c r="HNT50" s="45"/>
      <c r="HNU50" s="45"/>
      <c r="HNV50" s="45"/>
      <c r="HNW50" s="45"/>
      <c r="HNX50" s="45"/>
      <c r="HNY50" s="45"/>
      <c r="HNZ50" s="45"/>
      <c r="HOA50" s="45"/>
      <c r="HOB50" s="45"/>
      <c r="HOC50" s="45"/>
      <c r="HOD50" s="45"/>
      <c r="HOE50" s="45"/>
      <c r="HOF50" s="45"/>
      <c r="HOG50" s="45"/>
      <c r="HOH50" s="45"/>
      <c r="HOI50" s="45"/>
      <c r="HOJ50" s="45"/>
      <c r="HOK50" s="45"/>
      <c r="HOL50" s="45"/>
      <c r="HOM50" s="45"/>
      <c r="HON50" s="45"/>
      <c r="HOO50" s="45"/>
      <c r="HOP50" s="45"/>
      <c r="HOQ50" s="45"/>
      <c r="HOR50" s="45"/>
      <c r="HOS50" s="45"/>
      <c r="HOT50" s="45"/>
      <c r="HOU50" s="45"/>
      <c r="HOV50" s="45"/>
      <c r="HOW50" s="45"/>
      <c r="HOX50" s="45"/>
      <c r="HOY50" s="45"/>
      <c r="HOZ50" s="45"/>
      <c r="HPA50" s="45"/>
      <c r="HPB50" s="45"/>
      <c r="HPC50" s="45"/>
      <c r="HPD50" s="45"/>
      <c r="HPE50" s="45"/>
      <c r="HPF50" s="45"/>
      <c r="HPG50" s="45"/>
      <c r="HPH50" s="45"/>
      <c r="HPI50" s="45"/>
      <c r="HPJ50" s="45"/>
      <c r="HPK50" s="45"/>
      <c r="HPL50" s="45"/>
      <c r="HPM50" s="45"/>
      <c r="HPN50" s="45"/>
      <c r="HPO50" s="45"/>
      <c r="HPP50" s="45"/>
      <c r="HPQ50" s="45"/>
      <c r="HPR50" s="45"/>
      <c r="HPS50" s="45"/>
      <c r="HPT50" s="45"/>
      <c r="HPU50" s="45"/>
      <c r="HPV50" s="45"/>
      <c r="HPW50" s="45"/>
      <c r="HPX50" s="45"/>
      <c r="HPY50" s="45"/>
      <c r="HPZ50" s="45"/>
      <c r="HQA50" s="45"/>
      <c r="HQB50" s="45"/>
      <c r="HQC50" s="45"/>
      <c r="HQD50" s="45"/>
      <c r="HQE50" s="45"/>
      <c r="HQF50" s="45"/>
      <c r="HQG50" s="45"/>
      <c r="HQH50" s="45"/>
      <c r="HQI50" s="45"/>
      <c r="HQJ50" s="45"/>
      <c r="HQK50" s="45"/>
      <c r="HQL50" s="45"/>
      <c r="HQM50" s="45"/>
      <c r="HQN50" s="45"/>
      <c r="HQO50" s="45"/>
      <c r="HQP50" s="45"/>
      <c r="HQQ50" s="45"/>
      <c r="HQR50" s="45"/>
      <c r="HQS50" s="45"/>
      <c r="HQT50" s="45"/>
      <c r="HQU50" s="45"/>
      <c r="HQV50" s="45"/>
      <c r="HQW50" s="45"/>
      <c r="HQX50" s="45"/>
      <c r="HQY50" s="45"/>
      <c r="HQZ50" s="45"/>
      <c r="HRA50" s="45"/>
      <c r="HRB50" s="45"/>
      <c r="HRC50" s="45"/>
      <c r="HRD50" s="45"/>
      <c r="HRE50" s="45"/>
      <c r="HRF50" s="45"/>
      <c r="HRG50" s="45"/>
      <c r="HRH50" s="45"/>
      <c r="HRI50" s="45"/>
      <c r="HRJ50" s="45"/>
      <c r="HRK50" s="45"/>
      <c r="HRL50" s="45"/>
      <c r="HRM50" s="45"/>
      <c r="HRN50" s="45"/>
      <c r="HRO50" s="45"/>
      <c r="HRP50" s="45"/>
      <c r="HRQ50" s="45"/>
      <c r="HRR50" s="45"/>
      <c r="HRS50" s="45"/>
      <c r="HRT50" s="45"/>
      <c r="HRU50" s="45"/>
      <c r="HRV50" s="45"/>
      <c r="HRW50" s="45"/>
      <c r="HRX50" s="45"/>
      <c r="HRY50" s="45"/>
      <c r="HRZ50" s="45"/>
      <c r="HSA50" s="45"/>
      <c r="HSB50" s="45"/>
      <c r="HSC50" s="45"/>
      <c r="HSD50" s="45"/>
      <c r="HSE50" s="45"/>
      <c r="HSF50" s="45"/>
      <c r="HSG50" s="45"/>
      <c r="HSH50" s="45"/>
      <c r="HSI50" s="45"/>
      <c r="HSJ50" s="45"/>
      <c r="HSK50" s="45"/>
      <c r="HSL50" s="45"/>
      <c r="HSM50" s="45"/>
      <c r="HSN50" s="45"/>
      <c r="HSO50" s="45"/>
      <c r="HSP50" s="45"/>
      <c r="HSQ50" s="45"/>
      <c r="HSR50" s="45"/>
      <c r="HSS50" s="45"/>
      <c r="HST50" s="45"/>
      <c r="HSU50" s="45"/>
      <c r="HSV50" s="45"/>
      <c r="HSW50" s="45"/>
      <c r="HSX50" s="45"/>
      <c r="HSY50" s="45"/>
      <c r="HSZ50" s="45"/>
      <c r="HTA50" s="45"/>
      <c r="HTB50" s="45"/>
      <c r="HTC50" s="45"/>
      <c r="HTD50" s="45"/>
      <c r="HTE50" s="45"/>
      <c r="HTF50" s="45"/>
      <c r="HTG50" s="45"/>
      <c r="HTH50" s="45"/>
      <c r="HTI50" s="45"/>
      <c r="HTJ50" s="45"/>
      <c r="HTK50" s="45"/>
      <c r="HTL50" s="45"/>
      <c r="HTM50" s="45"/>
      <c r="HTN50" s="45"/>
      <c r="HTO50" s="45"/>
      <c r="HTP50" s="45"/>
      <c r="HTQ50" s="45"/>
      <c r="HTR50" s="45"/>
      <c r="HTS50" s="45"/>
      <c r="HTT50" s="45"/>
      <c r="HTU50" s="45"/>
      <c r="HTV50" s="45"/>
      <c r="HTW50" s="45"/>
      <c r="HTX50" s="45"/>
      <c r="HTY50" s="45"/>
      <c r="HTZ50" s="45"/>
      <c r="HUA50" s="45"/>
      <c r="HUB50" s="45"/>
      <c r="HUC50" s="45"/>
      <c r="HUD50" s="45"/>
      <c r="HUE50" s="45"/>
      <c r="HUF50" s="45"/>
      <c r="HUG50" s="45"/>
      <c r="HUH50" s="45"/>
      <c r="HUI50" s="45"/>
      <c r="HUJ50" s="45"/>
      <c r="HUK50" s="45"/>
      <c r="HUL50" s="45"/>
      <c r="HUM50" s="45"/>
      <c r="HUN50" s="45"/>
      <c r="HUO50" s="45"/>
      <c r="HUP50" s="45"/>
      <c r="HUQ50" s="45"/>
      <c r="HUR50" s="45"/>
      <c r="HUS50" s="45"/>
      <c r="HUT50" s="45"/>
      <c r="HUU50" s="45"/>
      <c r="HUV50" s="45"/>
      <c r="HUW50" s="45"/>
      <c r="HUX50" s="45"/>
      <c r="HUY50" s="45"/>
      <c r="HUZ50" s="45"/>
      <c r="HVA50" s="45"/>
      <c r="HVB50" s="45"/>
      <c r="HVC50" s="45"/>
      <c r="HVD50" s="45"/>
      <c r="HVE50" s="45"/>
      <c r="HVF50" s="45"/>
      <c r="HVG50" s="45"/>
      <c r="HVH50" s="45"/>
      <c r="HVI50" s="45"/>
      <c r="HVJ50" s="45"/>
      <c r="HVK50" s="45"/>
      <c r="HVL50" s="45"/>
      <c r="HVM50" s="45"/>
      <c r="HVN50" s="45"/>
      <c r="HVO50" s="45"/>
      <c r="HVP50" s="45"/>
      <c r="HVQ50" s="45"/>
      <c r="HVR50" s="45"/>
      <c r="HVS50" s="45"/>
      <c r="HVT50" s="45"/>
      <c r="HVU50" s="45"/>
      <c r="HVV50" s="45"/>
      <c r="HVW50" s="45"/>
      <c r="HVX50" s="45"/>
      <c r="HVY50" s="45"/>
      <c r="HVZ50" s="45"/>
      <c r="HWA50" s="45"/>
      <c r="HWB50" s="45"/>
      <c r="HWC50" s="45"/>
      <c r="HWD50" s="45"/>
      <c r="HWE50" s="45"/>
      <c r="HWF50" s="45"/>
      <c r="HWG50" s="45"/>
      <c r="HWH50" s="45"/>
      <c r="HWI50" s="45"/>
      <c r="HWJ50" s="45"/>
      <c r="HWK50" s="45"/>
      <c r="HWL50" s="45"/>
      <c r="HWM50" s="45"/>
      <c r="HWN50" s="45"/>
      <c r="HWO50" s="45"/>
      <c r="HWP50" s="45"/>
      <c r="HWQ50" s="45"/>
      <c r="HWR50" s="45"/>
      <c r="HWS50" s="45"/>
      <c r="HWT50" s="45"/>
      <c r="HWU50" s="45"/>
      <c r="HWV50" s="45"/>
      <c r="HWW50" s="45"/>
      <c r="HWX50" s="45"/>
      <c r="HWY50" s="45"/>
      <c r="HWZ50" s="45"/>
      <c r="HXA50" s="45"/>
      <c r="HXB50" s="45"/>
      <c r="HXC50" s="45"/>
      <c r="HXD50" s="45"/>
      <c r="HXE50" s="45"/>
      <c r="HXF50" s="45"/>
      <c r="HXG50" s="45"/>
      <c r="HXH50" s="45"/>
      <c r="HXI50" s="45"/>
      <c r="HXJ50" s="45"/>
      <c r="HXK50" s="45"/>
      <c r="HXL50" s="45"/>
      <c r="HXM50" s="45"/>
      <c r="HXN50" s="45"/>
      <c r="HXO50" s="45"/>
      <c r="HXP50" s="45"/>
      <c r="HXQ50" s="45"/>
      <c r="HXR50" s="45"/>
      <c r="HXS50" s="45"/>
      <c r="HXT50" s="45"/>
      <c r="HXU50" s="45"/>
      <c r="HXV50" s="45"/>
      <c r="HXW50" s="45"/>
      <c r="HXX50" s="45"/>
      <c r="HXY50" s="45"/>
      <c r="HXZ50" s="45"/>
      <c r="HYA50" s="45"/>
      <c r="HYB50" s="45"/>
      <c r="HYC50" s="45"/>
      <c r="HYD50" s="45"/>
      <c r="HYE50" s="45"/>
      <c r="HYF50" s="45"/>
      <c r="HYG50" s="45"/>
      <c r="HYH50" s="45"/>
      <c r="HYI50" s="45"/>
      <c r="HYJ50" s="45"/>
      <c r="HYK50" s="45"/>
      <c r="HYL50" s="45"/>
      <c r="HYM50" s="45"/>
      <c r="HYN50" s="45"/>
      <c r="HYO50" s="45"/>
      <c r="HYP50" s="45"/>
      <c r="HYQ50" s="45"/>
      <c r="HYR50" s="45"/>
      <c r="HYS50" s="45"/>
      <c r="HYT50" s="45"/>
      <c r="HYU50" s="45"/>
      <c r="HYV50" s="45"/>
      <c r="HYW50" s="45"/>
      <c r="HYX50" s="45"/>
      <c r="HYY50" s="45"/>
      <c r="HYZ50" s="45"/>
      <c r="HZA50" s="45"/>
      <c r="HZB50" s="45"/>
      <c r="HZC50" s="45"/>
      <c r="HZD50" s="45"/>
      <c r="HZE50" s="45"/>
      <c r="HZF50" s="45"/>
      <c r="HZG50" s="45"/>
      <c r="HZH50" s="45"/>
      <c r="HZI50" s="45"/>
      <c r="HZJ50" s="45"/>
      <c r="HZK50" s="45"/>
      <c r="HZL50" s="45"/>
      <c r="HZM50" s="45"/>
      <c r="HZN50" s="45"/>
      <c r="HZO50" s="45"/>
      <c r="HZP50" s="45"/>
      <c r="HZQ50" s="45"/>
      <c r="HZR50" s="45"/>
      <c r="HZS50" s="45"/>
      <c r="HZT50" s="45"/>
      <c r="HZU50" s="45"/>
      <c r="HZV50" s="45"/>
      <c r="HZW50" s="45"/>
      <c r="HZX50" s="45"/>
      <c r="HZY50" s="45"/>
      <c r="HZZ50" s="45"/>
      <c r="IAA50" s="45"/>
      <c r="IAB50" s="45"/>
      <c r="IAC50" s="45"/>
      <c r="IAD50" s="45"/>
      <c r="IAE50" s="45"/>
      <c r="IAF50" s="45"/>
      <c r="IAG50" s="45"/>
      <c r="IAH50" s="45"/>
      <c r="IAI50" s="45"/>
      <c r="IAJ50" s="45"/>
      <c r="IAK50" s="45"/>
      <c r="IAL50" s="45"/>
      <c r="IAM50" s="45"/>
      <c r="IAN50" s="45"/>
      <c r="IAO50" s="45"/>
      <c r="IAP50" s="45"/>
      <c r="IAQ50" s="45"/>
      <c r="IAR50" s="45"/>
      <c r="IAS50" s="45"/>
      <c r="IAT50" s="45"/>
      <c r="IAU50" s="45"/>
      <c r="IAV50" s="45"/>
      <c r="IAW50" s="45"/>
      <c r="IAX50" s="45"/>
      <c r="IAY50" s="45"/>
      <c r="IAZ50" s="45"/>
      <c r="IBA50" s="45"/>
      <c r="IBB50" s="45"/>
      <c r="IBC50" s="45"/>
      <c r="IBD50" s="45"/>
      <c r="IBE50" s="45"/>
      <c r="IBF50" s="45"/>
      <c r="IBG50" s="45"/>
      <c r="IBH50" s="45"/>
      <c r="IBI50" s="45"/>
      <c r="IBJ50" s="45"/>
      <c r="IBK50" s="45"/>
      <c r="IBL50" s="45"/>
      <c r="IBM50" s="45"/>
      <c r="IBN50" s="45"/>
      <c r="IBO50" s="45"/>
      <c r="IBP50" s="45"/>
      <c r="IBQ50" s="45"/>
      <c r="IBR50" s="45"/>
      <c r="IBS50" s="45"/>
      <c r="IBT50" s="45"/>
      <c r="IBU50" s="45"/>
      <c r="IBV50" s="45"/>
      <c r="IBW50" s="45"/>
      <c r="IBX50" s="45"/>
      <c r="IBY50" s="45"/>
      <c r="IBZ50" s="45"/>
      <c r="ICA50" s="45"/>
      <c r="ICB50" s="45"/>
      <c r="ICC50" s="45"/>
      <c r="ICD50" s="45"/>
      <c r="ICE50" s="45"/>
      <c r="ICF50" s="45"/>
      <c r="ICG50" s="45"/>
      <c r="ICH50" s="45"/>
      <c r="ICI50" s="45"/>
      <c r="ICJ50" s="45"/>
      <c r="ICK50" s="45"/>
      <c r="ICL50" s="45"/>
      <c r="ICM50" s="45"/>
      <c r="ICN50" s="45"/>
      <c r="ICO50" s="45"/>
      <c r="ICP50" s="45"/>
      <c r="ICQ50" s="45"/>
      <c r="ICR50" s="45"/>
      <c r="ICS50" s="45"/>
      <c r="ICT50" s="45"/>
      <c r="ICU50" s="45"/>
      <c r="ICV50" s="45"/>
      <c r="ICW50" s="45"/>
      <c r="ICX50" s="45"/>
      <c r="ICY50" s="45"/>
      <c r="ICZ50" s="45"/>
      <c r="IDA50" s="45"/>
      <c r="IDB50" s="45"/>
      <c r="IDC50" s="45"/>
      <c r="IDD50" s="45"/>
      <c r="IDE50" s="45"/>
      <c r="IDF50" s="45"/>
      <c r="IDG50" s="45"/>
      <c r="IDH50" s="45"/>
      <c r="IDI50" s="45"/>
      <c r="IDJ50" s="45"/>
      <c r="IDK50" s="45"/>
      <c r="IDL50" s="45"/>
      <c r="IDM50" s="45"/>
      <c r="IDN50" s="45"/>
      <c r="IDO50" s="45"/>
      <c r="IDP50" s="45"/>
      <c r="IDQ50" s="45"/>
      <c r="IDR50" s="45"/>
      <c r="IDS50" s="45"/>
      <c r="IDT50" s="45"/>
      <c r="IDU50" s="45"/>
      <c r="IDV50" s="45"/>
      <c r="IDW50" s="45"/>
      <c r="IDX50" s="45"/>
      <c r="IDY50" s="45"/>
      <c r="IDZ50" s="45"/>
      <c r="IEA50" s="45"/>
      <c r="IEB50" s="45"/>
      <c r="IEC50" s="45"/>
      <c r="IED50" s="45"/>
      <c r="IEE50" s="45"/>
      <c r="IEF50" s="45"/>
      <c r="IEG50" s="45"/>
      <c r="IEH50" s="45"/>
      <c r="IEI50" s="45"/>
      <c r="IEJ50" s="45"/>
      <c r="IEK50" s="45"/>
      <c r="IEL50" s="45"/>
      <c r="IEM50" s="45"/>
      <c r="IEN50" s="45"/>
      <c r="IEO50" s="45"/>
      <c r="IEP50" s="45"/>
      <c r="IEQ50" s="45"/>
      <c r="IER50" s="45"/>
      <c r="IES50" s="45"/>
      <c r="IET50" s="45"/>
      <c r="IEU50" s="45"/>
      <c r="IEV50" s="45"/>
      <c r="IEW50" s="45"/>
      <c r="IEX50" s="45"/>
      <c r="IEY50" s="45"/>
      <c r="IEZ50" s="45"/>
      <c r="IFA50" s="45"/>
      <c r="IFB50" s="45"/>
      <c r="IFC50" s="45"/>
      <c r="IFD50" s="45"/>
      <c r="IFE50" s="45"/>
      <c r="IFF50" s="45"/>
      <c r="IFG50" s="45"/>
      <c r="IFH50" s="45"/>
      <c r="IFI50" s="45"/>
      <c r="IFJ50" s="45"/>
      <c r="IFK50" s="45"/>
      <c r="IFL50" s="45"/>
      <c r="IFM50" s="45"/>
      <c r="IFN50" s="45"/>
      <c r="IFO50" s="45"/>
      <c r="IFP50" s="45"/>
      <c r="IFQ50" s="45"/>
      <c r="IFR50" s="45"/>
      <c r="IFS50" s="45"/>
      <c r="IFT50" s="45"/>
      <c r="IFU50" s="45"/>
      <c r="IFV50" s="45"/>
      <c r="IFW50" s="45"/>
      <c r="IFX50" s="45"/>
      <c r="IFY50" s="45"/>
      <c r="IFZ50" s="45"/>
      <c r="IGA50" s="45"/>
      <c r="IGB50" s="45"/>
      <c r="IGC50" s="45"/>
      <c r="IGD50" s="45"/>
      <c r="IGE50" s="45"/>
      <c r="IGF50" s="45"/>
      <c r="IGG50" s="45"/>
      <c r="IGH50" s="45"/>
      <c r="IGI50" s="45"/>
      <c r="IGJ50" s="45"/>
      <c r="IGK50" s="45"/>
      <c r="IGL50" s="45"/>
      <c r="IGM50" s="45"/>
      <c r="IGN50" s="45"/>
      <c r="IGO50" s="45"/>
      <c r="IGP50" s="45"/>
      <c r="IGQ50" s="45"/>
      <c r="IGR50" s="45"/>
      <c r="IGS50" s="45"/>
      <c r="IGT50" s="45"/>
      <c r="IGU50" s="45"/>
      <c r="IGV50" s="45"/>
      <c r="IGW50" s="45"/>
      <c r="IGX50" s="45"/>
      <c r="IGY50" s="45"/>
      <c r="IGZ50" s="45"/>
      <c r="IHA50" s="45"/>
      <c r="IHB50" s="45"/>
      <c r="IHC50" s="45"/>
      <c r="IHD50" s="45"/>
      <c r="IHE50" s="45"/>
      <c r="IHF50" s="45"/>
      <c r="IHG50" s="45"/>
      <c r="IHH50" s="45"/>
      <c r="IHI50" s="45"/>
      <c r="IHJ50" s="45"/>
      <c r="IHK50" s="45"/>
      <c r="IHL50" s="45"/>
      <c r="IHM50" s="45"/>
      <c r="IHN50" s="45"/>
      <c r="IHO50" s="45"/>
      <c r="IHP50" s="45"/>
      <c r="IHQ50" s="45"/>
      <c r="IHR50" s="45"/>
      <c r="IHS50" s="45"/>
      <c r="IHT50" s="45"/>
      <c r="IHU50" s="45"/>
      <c r="IHV50" s="45"/>
      <c r="IHW50" s="45"/>
      <c r="IHX50" s="45"/>
      <c r="IHY50" s="45"/>
      <c r="IHZ50" s="45"/>
      <c r="IIA50" s="45"/>
      <c r="IIB50" s="45"/>
      <c r="IIC50" s="45"/>
      <c r="IID50" s="45"/>
      <c r="IIE50" s="45"/>
      <c r="IIF50" s="45"/>
      <c r="IIG50" s="45"/>
      <c r="IIH50" s="45"/>
      <c r="III50" s="45"/>
      <c r="IIJ50" s="45"/>
      <c r="IIK50" s="45"/>
      <c r="IIL50" s="45"/>
      <c r="IIM50" s="45"/>
      <c r="IIN50" s="45"/>
      <c r="IIO50" s="45"/>
      <c r="IIP50" s="45"/>
      <c r="IIQ50" s="45"/>
      <c r="IIR50" s="45"/>
      <c r="IIS50" s="45"/>
      <c r="IIT50" s="45"/>
      <c r="IIU50" s="45"/>
      <c r="IIV50" s="45"/>
      <c r="IIW50" s="45"/>
      <c r="IIX50" s="45"/>
      <c r="IIY50" s="45"/>
      <c r="IIZ50" s="45"/>
      <c r="IJA50" s="45"/>
      <c r="IJB50" s="45"/>
      <c r="IJC50" s="45"/>
      <c r="IJD50" s="45"/>
      <c r="IJE50" s="45"/>
      <c r="IJF50" s="45"/>
      <c r="IJG50" s="45"/>
      <c r="IJH50" s="45"/>
      <c r="IJI50" s="45"/>
      <c r="IJJ50" s="45"/>
      <c r="IJK50" s="45"/>
      <c r="IJL50" s="45"/>
      <c r="IJM50" s="45"/>
      <c r="IJN50" s="45"/>
      <c r="IJO50" s="45"/>
      <c r="IJP50" s="45"/>
      <c r="IJQ50" s="45"/>
      <c r="IJR50" s="45"/>
      <c r="IJS50" s="45"/>
      <c r="IJT50" s="45"/>
      <c r="IJU50" s="45"/>
      <c r="IJV50" s="45"/>
      <c r="IJW50" s="45"/>
      <c r="IJX50" s="45"/>
      <c r="IJY50" s="45"/>
      <c r="IJZ50" s="45"/>
      <c r="IKA50" s="45"/>
      <c r="IKB50" s="45"/>
      <c r="IKC50" s="45"/>
      <c r="IKD50" s="45"/>
      <c r="IKE50" s="45"/>
      <c r="IKF50" s="45"/>
      <c r="IKG50" s="45"/>
      <c r="IKH50" s="45"/>
      <c r="IKI50" s="45"/>
      <c r="IKJ50" s="45"/>
      <c r="IKK50" s="45"/>
      <c r="IKL50" s="45"/>
      <c r="IKM50" s="45"/>
      <c r="IKN50" s="45"/>
      <c r="IKO50" s="45"/>
      <c r="IKP50" s="45"/>
      <c r="IKQ50" s="45"/>
      <c r="IKR50" s="45"/>
      <c r="IKS50" s="45"/>
      <c r="IKT50" s="45"/>
      <c r="IKU50" s="45"/>
      <c r="IKV50" s="45"/>
      <c r="IKW50" s="45"/>
      <c r="IKX50" s="45"/>
      <c r="IKY50" s="45"/>
      <c r="IKZ50" s="45"/>
      <c r="ILA50" s="45"/>
      <c r="ILB50" s="45"/>
      <c r="ILC50" s="45"/>
      <c r="ILD50" s="45"/>
      <c r="ILE50" s="45"/>
      <c r="ILF50" s="45"/>
      <c r="ILG50" s="45"/>
      <c r="ILH50" s="45"/>
      <c r="ILI50" s="45"/>
      <c r="ILJ50" s="45"/>
      <c r="ILK50" s="45"/>
      <c r="ILL50" s="45"/>
      <c r="ILM50" s="45"/>
      <c r="ILN50" s="45"/>
      <c r="ILO50" s="45"/>
      <c r="ILP50" s="45"/>
      <c r="ILQ50" s="45"/>
      <c r="ILR50" s="45"/>
      <c r="ILS50" s="45"/>
      <c r="ILT50" s="45"/>
      <c r="ILU50" s="45"/>
      <c r="ILV50" s="45"/>
      <c r="ILW50" s="45"/>
      <c r="ILX50" s="45"/>
      <c r="ILY50" s="45"/>
      <c r="ILZ50" s="45"/>
      <c r="IMA50" s="45"/>
      <c r="IMB50" s="45"/>
      <c r="IMC50" s="45"/>
      <c r="IMD50" s="45"/>
      <c r="IME50" s="45"/>
      <c r="IMF50" s="45"/>
      <c r="IMG50" s="45"/>
      <c r="IMH50" s="45"/>
      <c r="IMI50" s="45"/>
      <c r="IMJ50" s="45"/>
      <c r="IMK50" s="45"/>
      <c r="IML50" s="45"/>
      <c r="IMM50" s="45"/>
      <c r="IMN50" s="45"/>
      <c r="IMO50" s="45"/>
      <c r="IMP50" s="45"/>
      <c r="IMQ50" s="45"/>
      <c r="IMR50" s="45"/>
      <c r="IMS50" s="45"/>
      <c r="IMT50" s="45"/>
      <c r="IMU50" s="45"/>
      <c r="IMV50" s="45"/>
      <c r="IMW50" s="45"/>
      <c r="IMX50" s="45"/>
      <c r="IMY50" s="45"/>
      <c r="IMZ50" s="45"/>
      <c r="INA50" s="45"/>
      <c r="INB50" s="45"/>
      <c r="INC50" s="45"/>
      <c r="IND50" s="45"/>
      <c r="INE50" s="45"/>
      <c r="INF50" s="45"/>
      <c r="ING50" s="45"/>
      <c r="INH50" s="45"/>
      <c r="INI50" s="45"/>
      <c r="INJ50" s="45"/>
      <c r="INK50" s="45"/>
      <c r="INL50" s="45"/>
      <c r="INM50" s="45"/>
      <c r="INN50" s="45"/>
      <c r="INO50" s="45"/>
      <c r="INP50" s="45"/>
      <c r="INQ50" s="45"/>
      <c r="INR50" s="45"/>
      <c r="INS50" s="45"/>
      <c r="INT50" s="45"/>
      <c r="INU50" s="45"/>
      <c r="INV50" s="45"/>
      <c r="INW50" s="45"/>
      <c r="INX50" s="45"/>
      <c r="INY50" s="45"/>
      <c r="INZ50" s="45"/>
      <c r="IOA50" s="45"/>
      <c r="IOB50" s="45"/>
      <c r="IOC50" s="45"/>
      <c r="IOD50" s="45"/>
      <c r="IOE50" s="45"/>
      <c r="IOF50" s="45"/>
      <c r="IOG50" s="45"/>
      <c r="IOH50" s="45"/>
      <c r="IOI50" s="45"/>
      <c r="IOJ50" s="45"/>
      <c r="IOK50" s="45"/>
      <c r="IOL50" s="45"/>
      <c r="IOM50" s="45"/>
      <c r="ION50" s="45"/>
      <c r="IOO50" s="45"/>
      <c r="IOP50" s="45"/>
      <c r="IOQ50" s="45"/>
      <c r="IOR50" s="45"/>
      <c r="IOS50" s="45"/>
      <c r="IOT50" s="45"/>
      <c r="IOU50" s="45"/>
      <c r="IOV50" s="45"/>
      <c r="IOW50" s="45"/>
      <c r="IOX50" s="45"/>
      <c r="IOY50" s="45"/>
      <c r="IOZ50" s="45"/>
      <c r="IPA50" s="45"/>
      <c r="IPB50" s="45"/>
      <c r="IPC50" s="45"/>
      <c r="IPD50" s="45"/>
      <c r="IPE50" s="45"/>
      <c r="IPF50" s="45"/>
      <c r="IPG50" s="45"/>
      <c r="IPH50" s="45"/>
      <c r="IPI50" s="45"/>
      <c r="IPJ50" s="45"/>
      <c r="IPK50" s="45"/>
      <c r="IPL50" s="45"/>
      <c r="IPM50" s="45"/>
      <c r="IPN50" s="45"/>
      <c r="IPO50" s="45"/>
      <c r="IPP50" s="45"/>
      <c r="IPQ50" s="45"/>
      <c r="IPR50" s="45"/>
      <c r="IPS50" s="45"/>
      <c r="IPT50" s="45"/>
      <c r="IPU50" s="45"/>
      <c r="IPV50" s="45"/>
      <c r="IPW50" s="45"/>
      <c r="IPX50" s="45"/>
      <c r="IPY50" s="45"/>
      <c r="IPZ50" s="45"/>
      <c r="IQA50" s="45"/>
      <c r="IQB50" s="45"/>
      <c r="IQC50" s="45"/>
      <c r="IQD50" s="45"/>
      <c r="IQE50" s="45"/>
      <c r="IQF50" s="45"/>
      <c r="IQG50" s="45"/>
      <c r="IQH50" s="45"/>
      <c r="IQI50" s="45"/>
      <c r="IQJ50" s="45"/>
      <c r="IQK50" s="45"/>
      <c r="IQL50" s="45"/>
      <c r="IQM50" s="45"/>
      <c r="IQN50" s="45"/>
      <c r="IQO50" s="45"/>
      <c r="IQP50" s="45"/>
      <c r="IQQ50" s="45"/>
      <c r="IQR50" s="45"/>
      <c r="IQS50" s="45"/>
      <c r="IQT50" s="45"/>
      <c r="IQU50" s="45"/>
      <c r="IQV50" s="45"/>
      <c r="IQW50" s="45"/>
      <c r="IQX50" s="45"/>
      <c r="IQY50" s="45"/>
      <c r="IQZ50" s="45"/>
      <c r="IRA50" s="45"/>
      <c r="IRB50" s="45"/>
      <c r="IRC50" s="45"/>
      <c r="IRD50" s="45"/>
      <c r="IRE50" s="45"/>
      <c r="IRF50" s="45"/>
      <c r="IRG50" s="45"/>
      <c r="IRH50" s="45"/>
      <c r="IRI50" s="45"/>
      <c r="IRJ50" s="45"/>
      <c r="IRK50" s="45"/>
      <c r="IRL50" s="45"/>
      <c r="IRM50" s="45"/>
      <c r="IRN50" s="45"/>
      <c r="IRO50" s="45"/>
      <c r="IRP50" s="45"/>
      <c r="IRQ50" s="45"/>
      <c r="IRR50" s="45"/>
      <c r="IRS50" s="45"/>
      <c r="IRT50" s="45"/>
      <c r="IRU50" s="45"/>
      <c r="IRV50" s="45"/>
      <c r="IRW50" s="45"/>
      <c r="IRX50" s="45"/>
      <c r="IRY50" s="45"/>
      <c r="IRZ50" s="45"/>
      <c r="ISA50" s="45"/>
      <c r="ISB50" s="45"/>
      <c r="ISC50" s="45"/>
      <c r="ISD50" s="45"/>
      <c r="ISE50" s="45"/>
      <c r="ISF50" s="45"/>
      <c r="ISG50" s="45"/>
      <c r="ISH50" s="45"/>
      <c r="ISI50" s="45"/>
      <c r="ISJ50" s="45"/>
      <c r="ISK50" s="45"/>
      <c r="ISL50" s="45"/>
      <c r="ISM50" s="45"/>
      <c r="ISN50" s="45"/>
      <c r="ISO50" s="45"/>
      <c r="ISP50" s="45"/>
      <c r="ISQ50" s="45"/>
      <c r="ISR50" s="45"/>
      <c r="ISS50" s="45"/>
      <c r="IST50" s="45"/>
      <c r="ISU50" s="45"/>
      <c r="ISV50" s="45"/>
      <c r="ISW50" s="45"/>
      <c r="ISX50" s="45"/>
      <c r="ISY50" s="45"/>
      <c r="ISZ50" s="45"/>
      <c r="ITA50" s="45"/>
      <c r="ITB50" s="45"/>
      <c r="ITC50" s="45"/>
      <c r="ITD50" s="45"/>
      <c r="ITE50" s="45"/>
      <c r="ITF50" s="45"/>
      <c r="ITG50" s="45"/>
      <c r="ITH50" s="45"/>
      <c r="ITI50" s="45"/>
      <c r="ITJ50" s="45"/>
      <c r="ITK50" s="45"/>
      <c r="ITL50" s="45"/>
      <c r="ITM50" s="45"/>
      <c r="ITN50" s="45"/>
      <c r="ITO50" s="45"/>
      <c r="ITP50" s="45"/>
      <c r="ITQ50" s="45"/>
      <c r="ITR50" s="45"/>
      <c r="ITS50" s="45"/>
      <c r="ITT50" s="45"/>
      <c r="ITU50" s="45"/>
      <c r="ITV50" s="45"/>
      <c r="ITW50" s="45"/>
      <c r="ITX50" s="45"/>
      <c r="ITY50" s="45"/>
      <c r="ITZ50" s="45"/>
      <c r="IUA50" s="45"/>
      <c r="IUB50" s="45"/>
      <c r="IUC50" s="45"/>
      <c r="IUD50" s="45"/>
      <c r="IUE50" s="45"/>
      <c r="IUF50" s="45"/>
      <c r="IUG50" s="45"/>
      <c r="IUH50" s="45"/>
      <c r="IUI50" s="45"/>
      <c r="IUJ50" s="45"/>
      <c r="IUK50" s="45"/>
      <c r="IUL50" s="45"/>
      <c r="IUM50" s="45"/>
      <c r="IUN50" s="45"/>
      <c r="IUO50" s="45"/>
      <c r="IUP50" s="45"/>
      <c r="IUQ50" s="45"/>
      <c r="IUR50" s="45"/>
      <c r="IUS50" s="45"/>
      <c r="IUT50" s="45"/>
      <c r="IUU50" s="45"/>
      <c r="IUV50" s="45"/>
      <c r="IUW50" s="45"/>
      <c r="IUX50" s="45"/>
      <c r="IUY50" s="45"/>
      <c r="IUZ50" s="45"/>
      <c r="IVA50" s="45"/>
      <c r="IVB50" s="45"/>
      <c r="IVC50" s="45"/>
      <c r="IVD50" s="45"/>
      <c r="IVE50" s="45"/>
      <c r="IVF50" s="45"/>
      <c r="IVG50" s="45"/>
      <c r="IVH50" s="45"/>
      <c r="IVI50" s="45"/>
      <c r="IVJ50" s="45"/>
      <c r="IVK50" s="45"/>
      <c r="IVL50" s="45"/>
      <c r="IVM50" s="45"/>
      <c r="IVN50" s="45"/>
      <c r="IVO50" s="45"/>
      <c r="IVP50" s="45"/>
      <c r="IVQ50" s="45"/>
      <c r="IVR50" s="45"/>
      <c r="IVS50" s="45"/>
      <c r="IVT50" s="45"/>
      <c r="IVU50" s="45"/>
      <c r="IVV50" s="45"/>
      <c r="IVW50" s="45"/>
      <c r="IVX50" s="45"/>
      <c r="IVY50" s="45"/>
      <c r="IVZ50" s="45"/>
      <c r="IWA50" s="45"/>
      <c r="IWB50" s="45"/>
      <c r="IWC50" s="45"/>
      <c r="IWD50" s="45"/>
      <c r="IWE50" s="45"/>
      <c r="IWF50" s="45"/>
      <c r="IWG50" s="45"/>
      <c r="IWH50" s="45"/>
      <c r="IWI50" s="45"/>
      <c r="IWJ50" s="45"/>
      <c r="IWK50" s="45"/>
      <c r="IWL50" s="45"/>
      <c r="IWM50" s="45"/>
      <c r="IWN50" s="45"/>
      <c r="IWO50" s="45"/>
      <c r="IWP50" s="45"/>
      <c r="IWQ50" s="45"/>
      <c r="IWR50" s="45"/>
      <c r="IWS50" s="45"/>
      <c r="IWT50" s="45"/>
      <c r="IWU50" s="45"/>
      <c r="IWV50" s="45"/>
      <c r="IWW50" s="45"/>
      <c r="IWX50" s="45"/>
      <c r="IWY50" s="45"/>
      <c r="IWZ50" s="45"/>
      <c r="IXA50" s="45"/>
      <c r="IXB50" s="45"/>
      <c r="IXC50" s="45"/>
      <c r="IXD50" s="45"/>
      <c r="IXE50" s="45"/>
      <c r="IXF50" s="45"/>
      <c r="IXG50" s="45"/>
      <c r="IXH50" s="45"/>
      <c r="IXI50" s="45"/>
      <c r="IXJ50" s="45"/>
      <c r="IXK50" s="45"/>
      <c r="IXL50" s="45"/>
      <c r="IXM50" s="45"/>
      <c r="IXN50" s="45"/>
      <c r="IXO50" s="45"/>
      <c r="IXP50" s="45"/>
      <c r="IXQ50" s="45"/>
      <c r="IXR50" s="45"/>
      <c r="IXS50" s="45"/>
      <c r="IXT50" s="45"/>
      <c r="IXU50" s="45"/>
      <c r="IXV50" s="45"/>
      <c r="IXW50" s="45"/>
      <c r="IXX50" s="45"/>
      <c r="IXY50" s="45"/>
      <c r="IXZ50" s="45"/>
      <c r="IYA50" s="45"/>
      <c r="IYB50" s="45"/>
      <c r="IYC50" s="45"/>
      <c r="IYD50" s="45"/>
      <c r="IYE50" s="45"/>
      <c r="IYF50" s="45"/>
      <c r="IYG50" s="45"/>
      <c r="IYH50" s="45"/>
      <c r="IYI50" s="45"/>
      <c r="IYJ50" s="45"/>
      <c r="IYK50" s="45"/>
      <c r="IYL50" s="45"/>
      <c r="IYM50" s="45"/>
      <c r="IYN50" s="45"/>
      <c r="IYO50" s="45"/>
      <c r="IYP50" s="45"/>
      <c r="IYQ50" s="45"/>
      <c r="IYR50" s="45"/>
      <c r="IYS50" s="45"/>
      <c r="IYT50" s="45"/>
      <c r="IYU50" s="45"/>
      <c r="IYV50" s="45"/>
      <c r="IYW50" s="45"/>
      <c r="IYX50" s="45"/>
      <c r="IYY50" s="45"/>
      <c r="IYZ50" s="45"/>
      <c r="IZA50" s="45"/>
      <c r="IZB50" s="45"/>
      <c r="IZC50" s="45"/>
      <c r="IZD50" s="45"/>
      <c r="IZE50" s="45"/>
      <c r="IZF50" s="45"/>
      <c r="IZG50" s="45"/>
      <c r="IZH50" s="45"/>
      <c r="IZI50" s="45"/>
      <c r="IZJ50" s="45"/>
      <c r="IZK50" s="45"/>
      <c r="IZL50" s="45"/>
      <c r="IZM50" s="45"/>
      <c r="IZN50" s="45"/>
      <c r="IZO50" s="45"/>
      <c r="IZP50" s="45"/>
      <c r="IZQ50" s="45"/>
      <c r="IZR50" s="45"/>
      <c r="IZS50" s="45"/>
      <c r="IZT50" s="45"/>
      <c r="IZU50" s="45"/>
      <c r="IZV50" s="45"/>
      <c r="IZW50" s="45"/>
      <c r="IZX50" s="45"/>
      <c r="IZY50" s="45"/>
      <c r="IZZ50" s="45"/>
      <c r="JAA50" s="45"/>
      <c r="JAB50" s="45"/>
      <c r="JAC50" s="45"/>
      <c r="JAD50" s="45"/>
      <c r="JAE50" s="45"/>
      <c r="JAF50" s="45"/>
      <c r="JAG50" s="45"/>
      <c r="JAH50" s="45"/>
      <c r="JAI50" s="45"/>
      <c r="JAJ50" s="45"/>
      <c r="JAK50" s="45"/>
      <c r="JAL50" s="45"/>
      <c r="JAM50" s="45"/>
      <c r="JAN50" s="45"/>
      <c r="JAO50" s="45"/>
      <c r="JAP50" s="45"/>
      <c r="JAQ50" s="45"/>
      <c r="JAR50" s="45"/>
      <c r="JAS50" s="45"/>
      <c r="JAT50" s="45"/>
      <c r="JAU50" s="45"/>
      <c r="JAV50" s="45"/>
      <c r="JAW50" s="45"/>
      <c r="JAX50" s="45"/>
      <c r="JAY50" s="45"/>
      <c r="JAZ50" s="45"/>
      <c r="JBA50" s="45"/>
      <c r="JBB50" s="45"/>
      <c r="JBC50" s="45"/>
      <c r="JBD50" s="45"/>
      <c r="JBE50" s="45"/>
      <c r="JBF50" s="45"/>
      <c r="JBG50" s="45"/>
      <c r="JBH50" s="45"/>
      <c r="JBI50" s="45"/>
      <c r="JBJ50" s="45"/>
      <c r="JBK50" s="45"/>
      <c r="JBL50" s="45"/>
      <c r="JBM50" s="45"/>
      <c r="JBN50" s="45"/>
      <c r="JBO50" s="45"/>
      <c r="JBP50" s="45"/>
      <c r="JBQ50" s="45"/>
      <c r="JBR50" s="45"/>
      <c r="JBS50" s="45"/>
      <c r="JBT50" s="45"/>
      <c r="JBU50" s="45"/>
      <c r="JBV50" s="45"/>
      <c r="JBW50" s="45"/>
      <c r="JBX50" s="45"/>
      <c r="JBY50" s="45"/>
      <c r="JBZ50" s="45"/>
      <c r="JCA50" s="45"/>
      <c r="JCB50" s="45"/>
      <c r="JCC50" s="45"/>
      <c r="JCD50" s="45"/>
      <c r="JCE50" s="45"/>
      <c r="JCF50" s="45"/>
      <c r="JCG50" s="45"/>
      <c r="JCH50" s="45"/>
      <c r="JCI50" s="45"/>
      <c r="JCJ50" s="45"/>
      <c r="JCK50" s="45"/>
      <c r="JCL50" s="45"/>
      <c r="JCM50" s="45"/>
      <c r="JCN50" s="45"/>
      <c r="JCO50" s="45"/>
      <c r="JCP50" s="45"/>
      <c r="JCQ50" s="45"/>
      <c r="JCR50" s="45"/>
      <c r="JCS50" s="45"/>
      <c r="JCT50" s="45"/>
      <c r="JCU50" s="45"/>
      <c r="JCV50" s="45"/>
      <c r="JCW50" s="45"/>
      <c r="JCX50" s="45"/>
      <c r="JCY50" s="45"/>
      <c r="JCZ50" s="45"/>
      <c r="JDA50" s="45"/>
      <c r="JDB50" s="45"/>
      <c r="JDC50" s="45"/>
      <c r="JDD50" s="45"/>
      <c r="JDE50" s="45"/>
      <c r="JDF50" s="45"/>
      <c r="JDG50" s="45"/>
      <c r="JDH50" s="45"/>
      <c r="JDI50" s="45"/>
      <c r="JDJ50" s="45"/>
      <c r="JDK50" s="45"/>
      <c r="JDL50" s="45"/>
      <c r="JDM50" s="45"/>
      <c r="JDN50" s="45"/>
      <c r="JDO50" s="45"/>
      <c r="JDP50" s="45"/>
      <c r="JDQ50" s="45"/>
      <c r="JDR50" s="45"/>
      <c r="JDS50" s="45"/>
      <c r="JDT50" s="45"/>
      <c r="JDU50" s="45"/>
      <c r="JDV50" s="45"/>
      <c r="JDW50" s="45"/>
      <c r="JDX50" s="45"/>
      <c r="JDY50" s="45"/>
      <c r="JDZ50" s="45"/>
      <c r="JEA50" s="45"/>
      <c r="JEB50" s="45"/>
      <c r="JEC50" s="45"/>
      <c r="JED50" s="45"/>
      <c r="JEE50" s="45"/>
      <c r="JEF50" s="45"/>
      <c r="JEG50" s="45"/>
      <c r="JEH50" s="45"/>
      <c r="JEI50" s="45"/>
      <c r="JEJ50" s="45"/>
      <c r="JEK50" s="45"/>
      <c r="JEL50" s="45"/>
      <c r="JEM50" s="45"/>
      <c r="JEN50" s="45"/>
      <c r="JEO50" s="45"/>
      <c r="JEP50" s="45"/>
      <c r="JEQ50" s="45"/>
      <c r="JER50" s="45"/>
      <c r="JES50" s="45"/>
      <c r="JET50" s="45"/>
      <c r="JEU50" s="45"/>
      <c r="JEV50" s="45"/>
      <c r="JEW50" s="45"/>
      <c r="JEX50" s="45"/>
      <c r="JEY50" s="45"/>
      <c r="JEZ50" s="45"/>
      <c r="JFA50" s="45"/>
      <c r="JFB50" s="45"/>
      <c r="JFC50" s="45"/>
      <c r="JFD50" s="45"/>
      <c r="JFE50" s="45"/>
      <c r="JFF50" s="45"/>
      <c r="JFG50" s="45"/>
      <c r="JFH50" s="45"/>
      <c r="JFI50" s="45"/>
      <c r="JFJ50" s="45"/>
      <c r="JFK50" s="45"/>
      <c r="JFL50" s="45"/>
      <c r="JFM50" s="45"/>
      <c r="JFN50" s="45"/>
      <c r="JFO50" s="45"/>
      <c r="JFP50" s="45"/>
      <c r="JFQ50" s="45"/>
      <c r="JFR50" s="45"/>
      <c r="JFS50" s="45"/>
      <c r="JFT50" s="45"/>
      <c r="JFU50" s="45"/>
      <c r="JFV50" s="45"/>
      <c r="JFW50" s="45"/>
      <c r="JFX50" s="45"/>
      <c r="JFY50" s="45"/>
      <c r="JFZ50" s="45"/>
      <c r="JGA50" s="45"/>
      <c r="JGB50" s="45"/>
      <c r="JGC50" s="45"/>
      <c r="JGD50" s="45"/>
      <c r="JGE50" s="45"/>
      <c r="JGF50" s="45"/>
      <c r="JGG50" s="45"/>
      <c r="JGH50" s="45"/>
      <c r="JGI50" s="45"/>
      <c r="JGJ50" s="45"/>
      <c r="JGK50" s="45"/>
      <c r="JGL50" s="45"/>
      <c r="JGM50" s="45"/>
      <c r="JGN50" s="45"/>
      <c r="JGO50" s="45"/>
      <c r="JGP50" s="45"/>
      <c r="JGQ50" s="45"/>
      <c r="JGR50" s="45"/>
      <c r="JGS50" s="45"/>
      <c r="JGT50" s="45"/>
      <c r="JGU50" s="45"/>
      <c r="JGV50" s="45"/>
      <c r="JGW50" s="45"/>
      <c r="JGX50" s="45"/>
      <c r="JGY50" s="45"/>
      <c r="JGZ50" s="45"/>
      <c r="JHA50" s="45"/>
      <c r="JHB50" s="45"/>
      <c r="JHC50" s="45"/>
      <c r="JHD50" s="45"/>
      <c r="JHE50" s="45"/>
      <c r="JHF50" s="45"/>
      <c r="JHG50" s="45"/>
      <c r="JHH50" s="45"/>
      <c r="JHI50" s="45"/>
      <c r="JHJ50" s="45"/>
      <c r="JHK50" s="45"/>
      <c r="JHL50" s="45"/>
      <c r="JHM50" s="45"/>
      <c r="JHN50" s="45"/>
      <c r="JHO50" s="45"/>
      <c r="JHP50" s="45"/>
      <c r="JHQ50" s="45"/>
      <c r="JHR50" s="45"/>
      <c r="JHS50" s="45"/>
      <c r="JHT50" s="45"/>
      <c r="JHU50" s="45"/>
      <c r="JHV50" s="45"/>
      <c r="JHW50" s="45"/>
      <c r="JHX50" s="45"/>
      <c r="JHY50" s="45"/>
      <c r="JHZ50" s="45"/>
      <c r="JIA50" s="45"/>
      <c r="JIB50" s="45"/>
      <c r="JIC50" s="45"/>
      <c r="JID50" s="45"/>
      <c r="JIE50" s="45"/>
      <c r="JIF50" s="45"/>
      <c r="JIG50" s="45"/>
      <c r="JIH50" s="45"/>
      <c r="JII50" s="45"/>
      <c r="JIJ50" s="45"/>
      <c r="JIK50" s="45"/>
      <c r="JIL50" s="45"/>
      <c r="JIM50" s="45"/>
      <c r="JIN50" s="45"/>
      <c r="JIO50" s="45"/>
      <c r="JIP50" s="45"/>
      <c r="JIQ50" s="45"/>
      <c r="JIR50" s="45"/>
      <c r="JIS50" s="45"/>
      <c r="JIT50" s="45"/>
      <c r="JIU50" s="45"/>
      <c r="JIV50" s="45"/>
      <c r="JIW50" s="45"/>
      <c r="JIX50" s="45"/>
      <c r="JIY50" s="45"/>
      <c r="JIZ50" s="45"/>
      <c r="JJA50" s="45"/>
      <c r="JJB50" s="45"/>
      <c r="JJC50" s="45"/>
      <c r="JJD50" s="45"/>
      <c r="JJE50" s="45"/>
      <c r="JJF50" s="45"/>
      <c r="JJG50" s="45"/>
      <c r="JJH50" s="45"/>
      <c r="JJI50" s="45"/>
      <c r="JJJ50" s="45"/>
      <c r="JJK50" s="45"/>
      <c r="JJL50" s="45"/>
      <c r="JJM50" s="45"/>
      <c r="JJN50" s="45"/>
      <c r="JJO50" s="45"/>
      <c r="JJP50" s="45"/>
      <c r="JJQ50" s="45"/>
      <c r="JJR50" s="45"/>
      <c r="JJS50" s="45"/>
      <c r="JJT50" s="45"/>
      <c r="JJU50" s="45"/>
      <c r="JJV50" s="45"/>
      <c r="JJW50" s="45"/>
      <c r="JJX50" s="45"/>
      <c r="JJY50" s="45"/>
      <c r="JJZ50" s="45"/>
      <c r="JKA50" s="45"/>
      <c r="JKB50" s="45"/>
      <c r="JKC50" s="45"/>
      <c r="JKD50" s="45"/>
      <c r="JKE50" s="45"/>
      <c r="JKF50" s="45"/>
      <c r="JKG50" s="45"/>
      <c r="JKH50" s="45"/>
      <c r="JKI50" s="45"/>
      <c r="JKJ50" s="45"/>
      <c r="JKK50" s="45"/>
      <c r="JKL50" s="45"/>
      <c r="JKM50" s="45"/>
      <c r="JKN50" s="45"/>
      <c r="JKO50" s="45"/>
      <c r="JKP50" s="45"/>
      <c r="JKQ50" s="45"/>
      <c r="JKR50" s="45"/>
      <c r="JKS50" s="45"/>
      <c r="JKT50" s="45"/>
      <c r="JKU50" s="45"/>
      <c r="JKV50" s="45"/>
      <c r="JKW50" s="45"/>
      <c r="JKX50" s="45"/>
      <c r="JKY50" s="45"/>
      <c r="JKZ50" s="45"/>
      <c r="JLA50" s="45"/>
      <c r="JLB50" s="45"/>
      <c r="JLC50" s="45"/>
      <c r="JLD50" s="45"/>
      <c r="JLE50" s="45"/>
      <c r="JLF50" s="45"/>
      <c r="JLG50" s="45"/>
      <c r="JLH50" s="45"/>
      <c r="JLI50" s="45"/>
      <c r="JLJ50" s="45"/>
      <c r="JLK50" s="45"/>
      <c r="JLL50" s="45"/>
      <c r="JLM50" s="45"/>
      <c r="JLN50" s="45"/>
      <c r="JLO50" s="45"/>
      <c r="JLP50" s="45"/>
      <c r="JLQ50" s="45"/>
      <c r="JLR50" s="45"/>
      <c r="JLS50" s="45"/>
      <c r="JLT50" s="45"/>
      <c r="JLU50" s="45"/>
      <c r="JLV50" s="45"/>
      <c r="JLW50" s="45"/>
      <c r="JLX50" s="45"/>
      <c r="JLY50" s="45"/>
      <c r="JLZ50" s="45"/>
      <c r="JMA50" s="45"/>
      <c r="JMB50" s="45"/>
      <c r="JMC50" s="45"/>
      <c r="JMD50" s="45"/>
      <c r="JME50" s="45"/>
      <c r="JMF50" s="45"/>
      <c r="JMG50" s="45"/>
      <c r="JMH50" s="45"/>
      <c r="JMI50" s="45"/>
      <c r="JMJ50" s="45"/>
      <c r="JMK50" s="45"/>
      <c r="JML50" s="45"/>
      <c r="JMM50" s="45"/>
      <c r="JMN50" s="45"/>
      <c r="JMO50" s="45"/>
      <c r="JMP50" s="45"/>
      <c r="JMQ50" s="45"/>
      <c r="JMR50" s="45"/>
      <c r="JMS50" s="45"/>
      <c r="JMT50" s="45"/>
      <c r="JMU50" s="45"/>
      <c r="JMV50" s="45"/>
      <c r="JMW50" s="45"/>
      <c r="JMX50" s="45"/>
      <c r="JMY50" s="45"/>
      <c r="JMZ50" s="45"/>
      <c r="JNA50" s="45"/>
      <c r="JNB50" s="45"/>
      <c r="JNC50" s="45"/>
      <c r="JND50" s="45"/>
      <c r="JNE50" s="45"/>
      <c r="JNF50" s="45"/>
      <c r="JNG50" s="45"/>
      <c r="JNH50" s="45"/>
      <c r="JNI50" s="45"/>
      <c r="JNJ50" s="45"/>
      <c r="JNK50" s="45"/>
      <c r="JNL50" s="45"/>
      <c r="JNM50" s="45"/>
      <c r="JNN50" s="45"/>
      <c r="JNO50" s="45"/>
      <c r="JNP50" s="45"/>
      <c r="JNQ50" s="45"/>
      <c r="JNR50" s="45"/>
      <c r="JNS50" s="45"/>
      <c r="JNT50" s="45"/>
      <c r="JNU50" s="45"/>
      <c r="JNV50" s="45"/>
      <c r="JNW50" s="45"/>
      <c r="JNX50" s="45"/>
      <c r="JNY50" s="45"/>
      <c r="JNZ50" s="45"/>
      <c r="JOA50" s="45"/>
      <c r="JOB50" s="45"/>
      <c r="JOC50" s="45"/>
      <c r="JOD50" s="45"/>
      <c r="JOE50" s="45"/>
      <c r="JOF50" s="45"/>
      <c r="JOG50" s="45"/>
      <c r="JOH50" s="45"/>
      <c r="JOI50" s="45"/>
      <c r="JOJ50" s="45"/>
      <c r="JOK50" s="45"/>
      <c r="JOL50" s="45"/>
      <c r="JOM50" s="45"/>
      <c r="JON50" s="45"/>
      <c r="JOO50" s="45"/>
      <c r="JOP50" s="45"/>
      <c r="JOQ50" s="45"/>
      <c r="JOR50" s="45"/>
      <c r="JOS50" s="45"/>
      <c r="JOT50" s="45"/>
      <c r="JOU50" s="45"/>
      <c r="JOV50" s="45"/>
      <c r="JOW50" s="45"/>
      <c r="JOX50" s="45"/>
      <c r="JOY50" s="45"/>
      <c r="JOZ50" s="45"/>
      <c r="JPA50" s="45"/>
      <c r="JPB50" s="45"/>
      <c r="JPC50" s="45"/>
      <c r="JPD50" s="45"/>
      <c r="JPE50" s="45"/>
      <c r="JPF50" s="45"/>
      <c r="JPG50" s="45"/>
      <c r="JPH50" s="45"/>
      <c r="JPI50" s="45"/>
      <c r="JPJ50" s="45"/>
      <c r="JPK50" s="45"/>
      <c r="JPL50" s="45"/>
      <c r="JPM50" s="45"/>
      <c r="JPN50" s="45"/>
      <c r="JPO50" s="45"/>
      <c r="JPP50" s="45"/>
      <c r="JPQ50" s="45"/>
      <c r="JPR50" s="45"/>
      <c r="JPS50" s="45"/>
      <c r="JPT50" s="45"/>
      <c r="JPU50" s="45"/>
      <c r="JPV50" s="45"/>
      <c r="JPW50" s="45"/>
      <c r="JPX50" s="45"/>
      <c r="JPY50" s="45"/>
      <c r="JPZ50" s="45"/>
      <c r="JQA50" s="45"/>
      <c r="JQB50" s="45"/>
      <c r="JQC50" s="45"/>
      <c r="JQD50" s="45"/>
      <c r="JQE50" s="45"/>
      <c r="JQF50" s="45"/>
      <c r="JQG50" s="45"/>
      <c r="JQH50" s="45"/>
      <c r="JQI50" s="45"/>
      <c r="JQJ50" s="45"/>
      <c r="JQK50" s="45"/>
      <c r="JQL50" s="45"/>
      <c r="JQM50" s="45"/>
      <c r="JQN50" s="45"/>
      <c r="JQO50" s="45"/>
      <c r="JQP50" s="45"/>
      <c r="JQQ50" s="45"/>
      <c r="JQR50" s="45"/>
      <c r="JQS50" s="45"/>
      <c r="JQT50" s="45"/>
      <c r="JQU50" s="45"/>
      <c r="JQV50" s="45"/>
      <c r="JQW50" s="45"/>
      <c r="JQX50" s="45"/>
      <c r="JQY50" s="45"/>
      <c r="JQZ50" s="45"/>
      <c r="JRA50" s="45"/>
      <c r="JRB50" s="45"/>
      <c r="JRC50" s="45"/>
      <c r="JRD50" s="45"/>
      <c r="JRE50" s="45"/>
      <c r="JRF50" s="45"/>
      <c r="JRG50" s="45"/>
      <c r="JRH50" s="45"/>
      <c r="JRI50" s="45"/>
      <c r="JRJ50" s="45"/>
      <c r="JRK50" s="45"/>
      <c r="JRL50" s="45"/>
      <c r="JRM50" s="45"/>
      <c r="JRN50" s="45"/>
      <c r="JRO50" s="45"/>
      <c r="JRP50" s="45"/>
      <c r="JRQ50" s="45"/>
      <c r="JRR50" s="45"/>
      <c r="JRS50" s="45"/>
      <c r="JRT50" s="45"/>
      <c r="JRU50" s="45"/>
      <c r="JRV50" s="45"/>
      <c r="JRW50" s="45"/>
      <c r="JRX50" s="45"/>
      <c r="JRY50" s="45"/>
      <c r="JRZ50" s="45"/>
      <c r="JSA50" s="45"/>
      <c r="JSB50" s="45"/>
      <c r="JSC50" s="45"/>
      <c r="JSD50" s="45"/>
      <c r="JSE50" s="45"/>
      <c r="JSF50" s="45"/>
      <c r="JSG50" s="45"/>
      <c r="JSH50" s="45"/>
      <c r="JSI50" s="45"/>
      <c r="JSJ50" s="45"/>
      <c r="JSK50" s="45"/>
      <c r="JSL50" s="45"/>
      <c r="JSM50" s="45"/>
      <c r="JSN50" s="45"/>
      <c r="JSO50" s="45"/>
      <c r="JSP50" s="45"/>
      <c r="JSQ50" s="45"/>
      <c r="JSR50" s="45"/>
      <c r="JSS50" s="45"/>
      <c r="JST50" s="45"/>
      <c r="JSU50" s="45"/>
      <c r="JSV50" s="45"/>
      <c r="JSW50" s="45"/>
      <c r="JSX50" s="45"/>
      <c r="JSY50" s="45"/>
      <c r="JSZ50" s="45"/>
      <c r="JTA50" s="45"/>
      <c r="JTB50" s="45"/>
      <c r="JTC50" s="45"/>
      <c r="JTD50" s="45"/>
      <c r="JTE50" s="45"/>
      <c r="JTF50" s="45"/>
      <c r="JTG50" s="45"/>
      <c r="JTH50" s="45"/>
      <c r="JTI50" s="45"/>
      <c r="JTJ50" s="45"/>
      <c r="JTK50" s="45"/>
      <c r="JTL50" s="45"/>
      <c r="JTM50" s="45"/>
      <c r="JTN50" s="45"/>
      <c r="JTO50" s="45"/>
      <c r="JTP50" s="45"/>
      <c r="JTQ50" s="45"/>
      <c r="JTR50" s="45"/>
      <c r="JTS50" s="45"/>
      <c r="JTT50" s="45"/>
      <c r="JTU50" s="45"/>
      <c r="JTV50" s="45"/>
      <c r="JTW50" s="45"/>
      <c r="JTX50" s="45"/>
      <c r="JTY50" s="45"/>
      <c r="JTZ50" s="45"/>
      <c r="JUA50" s="45"/>
      <c r="JUB50" s="45"/>
      <c r="JUC50" s="45"/>
      <c r="JUD50" s="45"/>
      <c r="JUE50" s="45"/>
      <c r="JUF50" s="45"/>
      <c r="JUG50" s="45"/>
      <c r="JUH50" s="45"/>
      <c r="JUI50" s="45"/>
      <c r="JUJ50" s="45"/>
      <c r="JUK50" s="45"/>
      <c r="JUL50" s="45"/>
      <c r="JUM50" s="45"/>
      <c r="JUN50" s="45"/>
      <c r="JUO50" s="45"/>
      <c r="JUP50" s="45"/>
      <c r="JUQ50" s="45"/>
      <c r="JUR50" s="45"/>
      <c r="JUS50" s="45"/>
      <c r="JUT50" s="45"/>
      <c r="JUU50" s="45"/>
      <c r="JUV50" s="45"/>
      <c r="JUW50" s="45"/>
      <c r="JUX50" s="45"/>
      <c r="JUY50" s="45"/>
      <c r="JUZ50" s="45"/>
      <c r="JVA50" s="45"/>
      <c r="JVB50" s="45"/>
      <c r="JVC50" s="45"/>
      <c r="JVD50" s="45"/>
      <c r="JVE50" s="45"/>
      <c r="JVF50" s="45"/>
      <c r="JVG50" s="45"/>
      <c r="JVH50" s="45"/>
      <c r="JVI50" s="45"/>
      <c r="JVJ50" s="45"/>
      <c r="JVK50" s="45"/>
      <c r="JVL50" s="45"/>
      <c r="JVM50" s="45"/>
      <c r="JVN50" s="45"/>
      <c r="JVO50" s="45"/>
      <c r="JVP50" s="45"/>
      <c r="JVQ50" s="45"/>
      <c r="JVR50" s="45"/>
      <c r="JVS50" s="45"/>
      <c r="JVT50" s="45"/>
      <c r="JVU50" s="45"/>
      <c r="JVV50" s="45"/>
      <c r="JVW50" s="45"/>
      <c r="JVX50" s="45"/>
      <c r="JVY50" s="45"/>
      <c r="JVZ50" s="45"/>
      <c r="JWA50" s="45"/>
      <c r="JWB50" s="45"/>
      <c r="JWC50" s="45"/>
      <c r="JWD50" s="45"/>
      <c r="JWE50" s="45"/>
      <c r="JWF50" s="45"/>
      <c r="JWG50" s="45"/>
      <c r="JWH50" s="45"/>
      <c r="JWI50" s="45"/>
      <c r="JWJ50" s="45"/>
      <c r="JWK50" s="45"/>
      <c r="JWL50" s="45"/>
      <c r="JWM50" s="45"/>
      <c r="JWN50" s="45"/>
      <c r="JWO50" s="45"/>
      <c r="JWP50" s="45"/>
      <c r="JWQ50" s="45"/>
      <c r="JWR50" s="45"/>
      <c r="JWS50" s="45"/>
      <c r="JWT50" s="45"/>
      <c r="JWU50" s="45"/>
      <c r="JWV50" s="45"/>
      <c r="JWW50" s="45"/>
      <c r="JWX50" s="45"/>
      <c r="JWY50" s="45"/>
      <c r="JWZ50" s="45"/>
      <c r="JXA50" s="45"/>
      <c r="JXB50" s="45"/>
      <c r="JXC50" s="45"/>
      <c r="JXD50" s="45"/>
      <c r="JXE50" s="45"/>
      <c r="JXF50" s="45"/>
      <c r="JXG50" s="45"/>
      <c r="JXH50" s="45"/>
      <c r="JXI50" s="45"/>
      <c r="JXJ50" s="45"/>
      <c r="JXK50" s="45"/>
      <c r="JXL50" s="45"/>
      <c r="JXM50" s="45"/>
      <c r="JXN50" s="45"/>
      <c r="JXO50" s="45"/>
      <c r="JXP50" s="45"/>
      <c r="JXQ50" s="45"/>
      <c r="JXR50" s="45"/>
      <c r="JXS50" s="45"/>
      <c r="JXT50" s="45"/>
      <c r="JXU50" s="45"/>
      <c r="JXV50" s="45"/>
      <c r="JXW50" s="45"/>
      <c r="JXX50" s="45"/>
      <c r="JXY50" s="45"/>
      <c r="JXZ50" s="45"/>
      <c r="JYA50" s="45"/>
      <c r="JYB50" s="45"/>
      <c r="JYC50" s="45"/>
      <c r="JYD50" s="45"/>
      <c r="JYE50" s="45"/>
      <c r="JYF50" s="45"/>
      <c r="JYG50" s="45"/>
      <c r="JYH50" s="45"/>
      <c r="JYI50" s="45"/>
      <c r="JYJ50" s="45"/>
      <c r="JYK50" s="45"/>
      <c r="JYL50" s="45"/>
      <c r="JYM50" s="45"/>
      <c r="JYN50" s="45"/>
      <c r="JYO50" s="45"/>
      <c r="JYP50" s="45"/>
      <c r="JYQ50" s="45"/>
      <c r="JYR50" s="45"/>
      <c r="JYS50" s="45"/>
      <c r="JYT50" s="45"/>
      <c r="JYU50" s="45"/>
      <c r="JYV50" s="45"/>
      <c r="JYW50" s="45"/>
      <c r="JYX50" s="45"/>
      <c r="JYY50" s="45"/>
      <c r="JYZ50" s="45"/>
      <c r="JZA50" s="45"/>
      <c r="JZB50" s="45"/>
      <c r="JZC50" s="45"/>
      <c r="JZD50" s="45"/>
      <c r="JZE50" s="45"/>
      <c r="JZF50" s="45"/>
      <c r="JZG50" s="45"/>
      <c r="JZH50" s="45"/>
      <c r="JZI50" s="45"/>
      <c r="JZJ50" s="45"/>
      <c r="JZK50" s="45"/>
      <c r="JZL50" s="45"/>
      <c r="JZM50" s="45"/>
      <c r="JZN50" s="45"/>
      <c r="JZO50" s="45"/>
      <c r="JZP50" s="45"/>
      <c r="JZQ50" s="45"/>
      <c r="JZR50" s="45"/>
      <c r="JZS50" s="45"/>
      <c r="JZT50" s="45"/>
      <c r="JZU50" s="45"/>
      <c r="JZV50" s="45"/>
      <c r="JZW50" s="45"/>
      <c r="JZX50" s="45"/>
      <c r="JZY50" s="45"/>
      <c r="JZZ50" s="45"/>
      <c r="KAA50" s="45"/>
      <c r="KAB50" s="45"/>
      <c r="KAC50" s="45"/>
      <c r="KAD50" s="45"/>
      <c r="KAE50" s="45"/>
      <c r="KAF50" s="45"/>
      <c r="KAG50" s="45"/>
      <c r="KAH50" s="45"/>
      <c r="KAI50" s="45"/>
      <c r="KAJ50" s="45"/>
      <c r="KAK50" s="45"/>
      <c r="KAL50" s="45"/>
      <c r="KAM50" s="45"/>
      <c r="KAN50" s="45"/>
      <c r="KAO50" s="45"/>
      <c r="KAP50" s="45"/>
      <c r="KAQ50" s="45"/>
      <c r="KAR50" s="45"/>
      <c r="KAS50" s="45"/>
      <c r="KAT50" s="45"/>
      <c r="KAU50" s="45"/>
      <c r="KAV50" s="45"/>
      <c r="KAW50" s="45"/>
      <c r="KAX50" s="45"/>
      <c r="KAY50" s="45"/>
      <c r="KAZ50" s="45"/>
      <c r="KBA50" s="45"/>
      <c r="KBB50" s="45"/>
      <c r="KBC50" s="45"/>
      <c r="KBD50" s="45"/>
      <c r="KBE50" s="45"/>
      <c r="KBF50" s="45"/>
      <c r="KBG50" s="45"/>
      <c r="KBH50" s="45"/>
      <c r="KBI50" s="45"/>
      <c r="KBJ50" s="45"/>
      <c r="KBK50" s="45"/>
      <c r="KBL50" s="45"/>
      <c r="KBM50" s="45"/>
      <c r="KBN50" s="45"/>
      <c r="KBO50" s="45"/>
      <c r="KBP50" s="45"/>
      <c r="KBQ50" s="45"/>
      <c r="KBR50" s="45"/>
      <c r="KBS50" s="45"/>
      <c r="KBT50" s="45"/>
      <c r="KBU50" s="45"/>
      <c r="KBV50" s="45"/>
      <c r="KBW50" s="45"/>
      <c r="KBX50" s="45"/>
      <c r="KBY50" s="45"/>
      <c r="KBZ50" s="45"/>
      <c r="KCA50" s="45"/>
      <c r="KCB50" s="45"/>
      <c r="KCC50" s="45"/>
      <c r="KCD50" s="45"/>
      <c r="KCE50" s="45"/>
      <c r="KCF50" s="45"/>
      <c r="KCG50" s="45"/>
      <c r="KCH50" s="45"/>
      <c r="KCI50" s="45"/>
      <c r="KCJ50" s="45"/>
      <c r="KCK50" s="45"/>
      <c r="KCL50" s="45"/>
      <c r="KCM50" s="45"/>
      <c r="KCN50" s="45"/>
      <c r="KCO50" s="45"/>
      <c r="KCP50" s="45"/>
      <c r="KCQ50" s="45"/>
      <c r="KCR50" s="45"/>
      <c r="KCS50" s="45"/>
      <c r="KCT50" s="45"/>
      <c r="KCU50" s="45"/>
      <c r="KCV50" s="45"/>
      <c r="KCW50" s="45"/>
      <c r="KCX50" s="45"/>
      <c r="KCY50" s="45"/>
      <c r="KCZ50" s="45"/>
      <c r="KDA50" s="45"/>
      <c r="KDB50" s="45"/>
      <c r="KDC50" s="45"/>
      <c r="KDD50" s="45"/>
      <c r="KDE50" s="45"/>
      <c r="KDF50" s="45"/>
      <c r="KDG50" s="45"/>
      <c r="KDH50" s="45"/>
      <c r="KDI50" s="45"/>
      <c r="KDJ50" s="45"/>
      <c r="KDK50" s="45"/>
      <c r="KDL50" s="45"/>
      <c r="KDM50" s="45"/>
      <c r="KDN50" s="45"/>
      <c r="KDO50" s="45"/>
      <c r="KDP50" s="45"/>
      <c r="KDQ50" s="45"/>
      <c r="KDR50" s="45"/>
      <c r="KDS50" s="45"/>
      <c r="KDT50" s="45"/>
      <c r="KDU50" s="45"/>
      <c r="KDV50" s="45"/>
      <c r="KDW50" s="45"/>
      <c r="KDX50" s="45"/>
      <c r="KDY50" s="45"/>
      <c r="KDZ50" s="45"/>
      <c r="KEA50" s="45"/>
      <c r="KEB50" s="45"/>
      <c r="KEC50" s="45"/>
      <c r="KED50" s="45"/>
      <c r="KEE50" s="45"/>
      <c r="KEF50" s="45"/>
      <c r="KEG50" s="45"/>
      <c r="KEH50" s="45"/>
      <c r="KEI50" s="45"/>
      <c r="KEJ50" s="45"/>
      <c r="KEK50" s="45"/>
      <c r="KEL50" s="45"/>
      <c r="KEM50" s="45"/>
      <c r="KEN50" s="45"/>
      <c r="KEO50" s="45"/>
      <c r="KEP50" s="45"/>
      <c r="KEQ50" s="45"/>
      <c r="KER50" s="45"/>
      <c r="KES50" s="45"/>
      <c r="KET50" s="45"/>
      <c r="KEU50" s="45"/>
      <c r="KEV50" s="45"/>
      <c r="KEW50" s="45"/>
      <c r="KEX50" s="45"/>
      <c r="KEY50" s="45"/>
      <c r="KEZ50" s="45"/>
      <c r="KFA50" s="45"/>
      <c r="KFB50" s="45"/>
      <c r="KFC50" s="45"/>
      <c r="KFD50" s="45"/>
      <c r="KFE50" s="45"/>
      <c r="KFF50" s="45"/>
      <c r="KFG50" s="45"/>
      <c r="KFH50" s="45"/>
      <c r="KFI50" s="45"/>
      <c r="KFJ50" s="45"/>
      <c r="KFK50" s="45"/>
      <c r="KFL50" s="45"/>
      <c r="KFM50" s="45"/>
      <c r="KFN50" s="45"/>
      <c r="KFO50" s="45"/>
      <c r="KFP50" s="45"/>
      <c r="KFQ50" s="45"/>
      <c r="KFR50" s="45"/>
      <c r="KFS50" s="45"/>
      <c r="KFT50" s="45"/>
      <c r="KFU50" s="45"/>
      <c r="KFV50" s="45"/>
      <c r="KFW50" s="45"/>
      <c r="KFX50" s="45"/>
      <c r="KFY50" s="45"/>
      <c r="KFZ50" s="45"/>
      <c r="KGA50" s="45"/>
      <c r="KGB50" s="45"/>
      <c r="KGC50" s="45"/>
      <c r="KGD50" s="45"/>
      <c r="KGE50" s="45"/>
      <c r="KGF50" s="45"/>
      <c r="KGG50" s="45"/>
      <c r="KGH50" s="45"/>
      <c r="KGI50" s="45"/>
      <c r="KGJ50" s="45"/>
      <c r="KGK50" s="45"/>
      <c r="KGL50" s="45"/>
      <c r="KGM50" s="45"/>
      <c r="KGN50" s="45"/>
      <c r="KGO50" s="45"/>
      <c r="KGP50" s="45"/>
      <c r="KGQ50" s="45"/>
      <c r="KGR50" s="45"/>
      <c r="KGS50" s="45"/>
      <c r="KGT50" s="45"/>
      <c r="KGU50" s="45"/>
      <c r="KGV50" s="45"/>
      <c r="KGW50" s="45"/>
      <c r="KGX50" s="45"/>
      <c r="KGY50" s="45"/>
      <c r="KGZ50" s="45"/>
      <c r="KHA50" s="45"/>
      <c r="KHB50" s="45"/>
      <c r="KHC50" s="45"/>
      <c r="KHD50" s="45"/>
      <c r="KHE50" s="45"/>
      <c r="KHF50" s="45"/>
      <c r="KHG50" s="45"/>
      <c r="KHH50" s="45"/>
      <c r="KHI50" s="45"/>
      <c r="KHJ50" s="45"/>
      <c r="KHK50" s="45"/>
      <c r="KHL50" s="45"/>
      <c r="KHM50" s="45"/>
      <c r="KHN50" s="45"/>
      <c r="KHO50" s="45"/>
      <c r="KHP50" s="45"/>
      <c r="KHQ50" s="45"/>
      <c r="KHR50" s="45"/>
      <c r="KHS50" s="45"/>
      <c r="KHT50" s="45"/>
      <c r="KHU50" s="45"/>
      <c r="KHV50" s="45"/>
      <c r="KHW50" s="45"/>
      <c r="KHX50" s="45"/>
      <c r="KHY50" s="45"/>
      <c r="KHZ50" s="45"/>
      <c r="KIA50" s="45"/>
      <c r="KIB50" s="45"/>
      <c r="KIC50" s="45"/>
      <c r="KID50" s="45"/>
      <c r="KIE50" s="45"/>
      <c r="KIF50" s="45"/>
      <c r="KIG50" s="45"/>
      <c r="KIH50" s="45"/>
      <c r="KII50" s="45"/>
      <c r="KIJ50" s="45"/>
      <c r="KIK50" s="45"/>
      <c r="KIL50" s="45"/>
      <c r="KIM50" s="45"/>
      <c r="KIN50" s="45"/>
      <c r="KIO50" s="45"/>
      <c r="KIP50" s="45"/>
      <c r="KIQ50" s="45"/>
      <c r="KIR50" s="45"/>
      <c r="KIS50" s="45"/>
      <c r="KIT50" s="45"/>
      <c r="KIU50" s="45"/>
      <c r="KIV50" s="45"/>
      <c r="KIW50" s="45"/>
      <c r="KIX50" s="45"/>
      <c r="KIY50" s="45"/>
      <c r="KIZ50" s="45"/>
      <c r="KJA50" s="45"/>
      <c r="KJB50" s="45"/>
      <c r="KJC50" s="45"/>
      <c r="KJD50" s="45"/>
      <c r="KJE50" s="45"/>
      <c r="KJF50" s="45"/>
      <c r="KJG50" s="45"/>
      <c r="KJH50" s="45"/>
      <c r="KJI50" s="45"/>
      <c r="KJJ50" s="45"/>
      <c r="KJK50" s="45"/>
      <c r="KJL50" s="45"/>
      <c r="KJM50" s="45"/>
      <c r="KJN50" s="45"/>
      <c r="KJO50" s="45"/>
      <c r="KJP50" s="45"/>
      <c r="KJQ50" s="45"/>
      <c r="KJR50" s="45"/>
      <c r="KJS50" s="45"/>
      <c r="KJT50" s="45"/>
      <c r="KJU50" s="45"/>
      <c r="KJV50" s="45"/>
      <c r="KJW50" s="45"/>
      <c r="KJX50" s="45"/>
      <c r="KJY50" s="45"/>
      <c r="KJZ50" s="45"/>
      <c r="KKA50" s="45"/>
      <c r="KKB50" s="45"/>
      <c r="KKC50" s="45"/>
      <c r="KKD50" s="45"/>
      <c r="KKE50" s="45"/>
      <c r="KKF50" s="45"/>
      <c r="KKG50" s="45"/>
      <c r="KKH50" s="45"/>
      <c r="KKI50" s="45"/>
      <c r="KKJ50" s="45"/>
      <c r="KKK50" s="45"/>
      <c r="KKL50" s="45"/>
      <c r="KKM50" s="45"/>
      <c r="KKN50" s="45"/>
      <c r="KKO50" s="45"/>
      <c r="KKP50" s="45"/>
      <c r="KKQ50" s="45"/>
      <c r="KKR50" s="45"/>
      <c r="KKS50" s="45"/>
      <c r="KKT50" s="45"/>
      <c r="KKU50" s="45"/>
      <c r="KKV50" s="45"/>
      <c r="KKW50" s="45"/>
      <c r="KKX50" s="45"/>
      <c r="KKY50" s="45"/>
      <c r="KKZ50" s="45"/>
      <c r="KLA50" s="45"/>
      <c r="KLB50" s="45"/>
      <c r="KLC50" s="45"/>
      <c r="KLD50" s="45"/>
      <c r="KLE50" s="45"/>
      <c r="KLF50" s="45"/>
      <c r="KLG50" s="45"/>
      <c r="KLH50" s="45"/>
      <c r="KLI50" s="45"/>
      <c r="KLJ50" s="45"/>
      <c r="KLK50" s="45"/>
      <c r="KLL50" s="45"/>
      <c r="KLM50" s="45"/>
      <c r="KLN50" s="45"/>
      <c r="KLO50" s="45"/>
      <c r="KLP50" s="45"/>
      <c r="KLQ50" s="45"/>
      <c r="KLR50" s="45"/>
      <c r="KLS50" s="45"/>
      <c r="KLT50" s="45"/>
      <c r="KLU50" s="45"/>
      <c r="KLV50" s="45"/>
      <c r="KLW50" s="45"/>
      <c r="KLX50" s="45"/>
      <c r="KLY50" s="45"/>
      <c r="KLZ50" s="45"/>
      <c r="KMA50" s="45"/>
      <c r="KMB50" s="45"/>
      <c r="KMC50" s="45"/>
      <c r="KMD50" s="45"/>
      <c r="KME50" s="45"/>
      <c r="KMF50" s="45"/>
      <c r="KMG50" s="45"/>
      <c r="KMH50" s="45"/>
      <c r="KMI50" s="45"/>
      <c r="KMJ50" s="45"/>
      <c r="KMK50" s="45"/>
      <c r="KML50" s="45"/>
      <c r="KMM50" s="45"/>
      <c r="KMN50" s="45"/>
      <c r="KMO50" s="45"/>
      <c r="KMP50" s="45"/>
      <c r="KMQ50" s="45"/>
      <c r="KMR50" s="45"/>
      <c r="KMS50" s="45"/>
      <c r="KMT50" s="45"/>
      <c r="KMU50" s="45"/>
      <c r="KMV50" s="45"/>
      <c r="KMW50" s="45"/>
      <c r="KMX50" s="45"/>
      <c r="KMY50" s="45"/>
      <c r="KMZ50" s="45"/>
      <c r="KNA50" s="45"/>
      <c r="KNB50" s="45"/>
      <c r="KNC50" s="45"/>
      <c r="KND50" s="45"/>
      <c r="KNE50" s="45"/>
      <c r="KNF50" s="45"/>
      <c r="KNG50" s="45"/>
      <c r="KNH50" s="45"/>
      <c r="KNI50" s="45"/>
      <c r="KNJ50" s="45"/>
      <c r="KNK50" s="45"/>
      <c r="KNL50" s="45"/>
      <c r="KNM50" s="45"/>
      <c r="KNN50" s="45"/>
      <c r="KNO50" s="45"/>
      <c r="KNP50" s="45"/>
      <c r="KNQ50" s="45"/>
      <c r="KNR50" s="45"/>
      <c r="KNS50" s="45"/>
      <c r="KNT50" s="45"/>
      <c r="KNU50" s="45"/>
      <c r="KNV50" s="45"/>
      <c r="KNW50" s="45"/>
      <c r="KNX50" s="45"/>
      <c r="KNY50" s="45"/>
      <c r="KNZ50" s="45"/>
      <c r="KOA50" s="45"/>
      <c r="KOB50" s="45"/>
      <c r="KOC50" s="45"/>
      <c r="KOD50" s="45"/>
      <c r="KOE50" s="45"/>
      <c r="KOF50" s="45"/>
      <c r="KOG50" s="45"/>
      <c r="KOH50" s="45"/>
      <c r="KOI50" s="45"/>
      <c r="KOJ50" s="45"/>
      <c r="KOK50" s="45"/>
      <c r="KOL50" s="45"/>
      <c r="KOM50" s="45"/>
      <c r="KON50" s="45"/>
      <c r="KOO50" s="45"/>
      <c r="KOP50" s="45"/>
      <c r="KOQ50" s="45"/>
      <c r="KOR50" s="45"/>
      <c r="KOS50" s="45"/>
      <c r="KOT50" s="45"/>
      <c r="KOU50" s="45"/>
      <c r="KOV50" s="45"/>
      <c r="KOW50" s="45"/>
      <c r="KOX50" s="45"/>
      <c r="KOY50" s="45"/>
      <c r="KOZ50" s="45"/>
      <c r="KPA50" s="45"/>
      <c r="KPB50" s="45"/>
      <c r="KPC50" s="45"/>
      <c r="KPD50" s="45"/>
      <c r="KPE50" s="45"/>
      <c r="KPF50" s="45"/>
      <c r="KPG50" s="45"/>
      <c r="KPH50" s="45"/>
      <c r="KPI50" s="45"/>
      <c r="KPJ50" s="45"/>
      <c r="KPK50" s="45"/>
      <c r="KPL50" s="45"/>
      <c r="KPM50" s="45"/>
      <c r="KPN50" s="45"/>
      <c r="KPO50" s="45"/>
      <c r="KPP50" s="45"/>
      <c r="KPQ50" s="45"/>
      <c r="KPR50" s="45"/>
      <c r="KPS50" s="45"/>
      <c r="KPT50" s="45"/>
      <c r="KPU50" s="45"/>
      <c r="KPV50" s="45"/>
      <c r="KPW50" s="45"/>
      <c r="KPX50" s="45"/>
      <c r="KPY50" s="45"/>
      <c r="KPZ50" s="45"/>
      <c r="KQA50" s="45"/>
      <c r="KQB50" s="45"/>
      <c r="KQC50" s="45"/>
      <c r="KQD50" s="45"/>
      <c r="KQE50" s="45"/>
      <c r="KQF50" s="45"/>
      <c r="KQG50" s="45"/>
      <c r="KQH50" s="45"/>
      <c r="KQI50" s="45"/>
      <c r="KQJ50" s="45"/>
      <c r="KQK50" s="45"/>
      <c r="KQL50" s="45"/>
      <c r="KQM50" s="45"/>
      <c r="KQN50" s="45"/>
      <c r="KQO50" s="45"/>
      <c r="KQP50" s="45"/>
      <c r="KQQ50" s="45"/>
      <c r="KQR50" s="45"/>
      <c r="KQS50" s="45"/>
      <c r="KQT50" s="45"/>
      <c r="KQU50" s="45"/>
      <c r="KQV50" s="45"/>
      <c r="KQW50" s="45"/>
      <c r="KQX50" s="45"/>
      <c r="KQY50" s="45"/>
      <c r="KQZ50" s="45"/>
      <c r="KRA50" s="45"/>
      <c r="KRB50" s="45"/>
      <c r="KRC50" s="45"/>
      <c r="KRD50" s="45"/>
      <c r="KRE50" s="45"/>
      <c r="KRF50" s="45"/>
      <c r="KRG50" s="45"/>
      <c r="KRH50" s="45"/>
      <c r="KRI50" s="45"/>
      <c r="KRJ50" s="45"/>
      <c r="KRK50" s="45"/>
      <c r="KRL50" s="45"/>
      <c r="KRM50" s="45"/>
      <c r="KRN50" s="45"/>
      <c r="KRO50" s="45"/>
      <c r="KRP50" s="45"/>
      <c r="KRQ50" s="45"/>
      <c r="KRR50" s="45"/>
      <c r="KRS50" s="45"/>
      <c r="KRT50" s="45"/>
      <c r="KRU50" s="45"/>
      <c r="KRV50" s="45"/>
      <c r="KRW50" s="45"/>
      <c r="KRX50" s="45"/>
      <c r="KRY50" s="45"/>
      <c r="KRZ50" s="45"/>
      <c r="KSA50" s="45"/>
      <c r="KSB50" s="45"/>
      <c r="KSC50" s="45"/>
      <c r="KSD50" s="45"/>
      <c r="KSE50" s="45"/>
      <c r="KSF50" s="45"/>
      <c r="KSG50" s="45"/>
      <c r="KSH50" s="45"/>
      <c r="KSI50" s="45"/>
      <c r="KSJ50" s="45"/>
      <c r="KSK50" s="45"/>
      <c r="KSL50" s="45"/>
      <c r="KSM50" s="45"/>
      <c r="KSN50" s="45"/>
      <c r="KSO50" s="45"/>
      <c r="KSP50" s="45"/>
      <c r="KSQ50" s="45"/>
      <c r="KSR50" s="45"/>
      <c r="KSS50" s="45"/>
      <c r="KST50" s="45"/>
      <c r="KSU50" s="45"/>
      <c r="KSV50" s="45"/>
      <c r="KSW50" s="45"/>
      <c r="KSX50" s="45"/>
      <c r="KSY50" s="45"/>
      <c r="KSZ50" s="45"/>
      <c r="KTA50" s="45"/>
      <c r="KTB50" s="45"/>
      <c r="KTC50" s="45"/>
      <c r="KTD50" s="45"/>
      <c r="KTE50" s="45"/>
      <c r="KTF50" s="45"/>
      <c r="KTG50" s="45"/>
      <c r="KTH50" s="45"/>
      <c r="KTI50" s="45"/>
      <c r="KTJ50" s="45"/>
      <c r="KTK50" s="45"/>
      <c r="KTL50" s="45"/>
      <c r="KTM50" s="45"/>
      <c r="KTN50" s="45"/>
      <c r="KTO50" s="45"/>
      <c r="KTP50" s="45"/>
      <c r="KTQ50" s="45"/>
      <c r="KTR50" s="45"/>
      <c r="KTS50" s="45"/>
      <c r="KTT50" s="45"/>
      <c r="KTU50" s="45"/>
      <c r="KTV50" s="45"/>
      <c r="KTW50" s="45"/>
      <c r="KTX50" s="45"/>
      <c r="KTY50" s="45"/>
      <c r="KTZ50" s="45"/>
      <c r="KUA50" s="45"/>
      <c r="KUB50" s="45"/>
      <c r="KUC50" s="45"/>
      <c r="KUD50" s="45"/>
      <c r="KUE50" s="45"/>
      <c r="KUF50" s="45"/>
      <c r="KUG50" s="45"/>
      <c r="KUH50" s="45"/>
      <c r="KUI50" s="45"/>
      <c r="KUJ50" s="45"/>
      <c r="KUK50" s="45"/>
      <c r="KUL50" s="45"/>
      <c r="KUM50" s="45"/>
      <c r="KUN50" s="45"/>
      <c r="KUO50" s="45"/>
      <c r="KUP50" s="45"/>
      <c r="KUQ50" s="45"/>
      <c r="KUR50" s="45"/>
      <c r="KUS50" s="45"/>
      <c r="KUT50" s="45"/>
      <c r="KUU50" s="45"/>
      <c r="KUV50" s="45"/>
      <c r="KUW50" s="45"/>
      <c r="KUX50" s="45"/>
      <c r="KUY50" s="45"/>
      <c r="KUZ50" s="45"/>
      <c r="KVA50" s="45"/>
      <c r="KVB50" s="45"/>
      <c r="KVC50" s="45"/>
      <c r="KVD50" s="45"/>
      <c r="KVE50" s="45"/>
      <c r="KVF50" s="45"/>
      <c r="KVG50" s="45"/>
      <c r="KVH50" s="45"/>
      <c r="KVI50" s="45"/>
      <c r="KVJ50" s="45"/>
      <c r="KVK50" s="45"/>
      <c r="KVL50" s="45"/>
      <c r="KVM50" s="45"/>
      <c r="KVN50" s="45"/>
      <c r="KVO50" s="45"/>
      <c r="KVP50" s="45"/>
      <c r="KVQ50" s="45"/>
      <c r="KVR50" s="45"/>
      <c r="KVS50" s="45"/>
      <c r="KVT50" s="45"/>
      <c r="KVU50" s="45"/>
      <c r="KVV50" s="45"/>
      <c r="KVW50" s="45"/>
      <c r="KVX50" s="45"/>
      <c r="KVY50" s="45"/>
      <c r="KVZ50" s="45"/>
      <c r="KWA50" s="45"/>
      <c r="KWB50" s="45"/>
      <c r="KWC50" s="45"/>
      <c r="KWD50" s="45"/>
      <c r="KWE50" s="45"/>
      <c r="KWF50" s="45"/>
      <c r="KWG50" s="45"/>
      <c r="KWH50" s="45"/>
      <c r="KWI50" s="45"/>
      <c r="KWJ50" s="45"/>
      <c r="KWK50" s="45"/>
      <c r="KWL50" s="45"/>
      <c r="KWM50" s="45"/>
      <c r="KWN50" s="45"/>
      <c r="KWO50" s="45"/>
      <c r="KWP50" s="45"/>
      <c r="KWQ50" s="45"/>
      <c r="KWR50" s="45"/>
      <c r="KWS50" s="45"/>
      <c r="KWT50" s="45"/>
      <c r="KWU50" s="45"/>
      <c r="KWV50" s="45"/>
      <c r="KWW50" s="45"/>
      <c r="KWX50" s="45"/>
      <c r="KWY50" s="45"/>
      <c r="KWZ50" s="45"/>
      <c r="KXA50" s="45"/>
      <c r="KXB50" s="45"/>
      <c r="KXC50" s="45"/>
      <c r="KXD50" s="45"/>
      <c r="KXE50" s="45"/>
      <c r="KXF50" s="45"/>
      <c r="KXG50" s="45"/>
      <c r="KXH50" s="45"/>
      <c r="KXI50" s="45"/>
      <c r="KXJ50" s="45"/>
      <c r="KXK50" s="45"/>
      <c r="KXL50" s="45"/>
      <c r="KXM50" s="45"/>
      <c r="KXN50" s="45"/>
      <c r="KXO50" s="45"/>
      <c r="KXP50" s="45"/>
      <c r="KXQ50" s="45"/>
      <c r="KXR50" s="45"/>
      <c r="KXS50" s="45"/>
      <c r="KXT50" s="45"/>
      <c r="KXU50" s="45"/>
      <c r="KXV50" s="45"/>
      <c r="KXW50" s="45"/>
      <c r="KXX50" s="45"/>
      <c r="KXY50" s="45"/>
      <c r="KXZ50" s="45"/>
      <c r="KYA50" s="45"/>
      <c r="KYB50" s="45"/>
      <c r="KYC50" s="45"/>
      <c r="KYD50" s="45"/>
      <c r="KYE50" s="45"/>
      <c r="KYF50" s="45"/>
      <c r="KYG50" s="45"/>
      <c r="KYH50" s="45"/>
      <c r="KYI50" s="45"/>
      <c r="KYJ50" s="45"/>
      <c r="KYK50" s="45"/>
      <c r="KYL50" s="45"/>
      <c r="KYM50" s="45"/>
      <c r="KYN50" s="45"/>
      <c r="KYO50" s="45"/>
      <c r="KYP50" s="45"/>
      <c r="KYQ50" s="45"/>
      <c r="KYR50" s="45"/>
      <c r="KYS50" s="45"/>
      <c r="KYT50" s="45"/>
      <c r="KYU50" s="45"/>
      <c r="KYV50" s="45"/>
      <c r="KYW50" s="45"/>
      <c r="KYX50" s="45"/>
      <c r="KYY50" s="45"/>
      <c r="KYZ50" s="45"/>
      <c r="KZA50" s="45"/>
      <c r="KZB50" s="45"/>
      <c r="KZC50" s="45"/>
      <c r="KZD50" s="45"/>
      <c r="KZE50" s="45"/>
      <c r="KZF50" s="45"/>
      <c r="KZG50" s="45"/>
      <c r="KZH50" s="45"/>
      <c r="KZI50" s="45"/>
      <c r="KZJ50" s="45"/>
      <c r="KZK50" s="45"/>
      <c r="KZL50" s="45"/>
      <c r="KZM50" s="45"/>
      <c r="KZN50" s="45"/>
      <c r="KZO50" s="45"/>
      <c r="KZP50" s="45"/>
      <c r="KZQ50" s="45"/>
      <c r="KZR50" s="45"/>
      <c r="KZS50" s="45"/>
      <c r="KZT50" s="45"/>
      <c r="KZU50" s="45"/>
      <c r="KZV50" s="45"/>
      <c r="KZW50" s="45"/>
      <c r="KZX50" s="45"/>
      <c r="KZY50" s="45"/>
      <c r="KZZ50" s="45"/>
      <c r="LAA50" s="45"/>
      <c r="LAB50" s="45"/>
      <c r="LAC50" s="45"/>
      <c r="LAD50" s="45"/>
      <c r="LAE50" s="45"/>
      <c r="LAF50" s="45"/>
      <c r="LAG50" s="45"/>
      <c r="LAH50" s="45"/>
      <c r="LAI50" s="45"/>
      <c r="LAJ50" s="45"/>
      <c r="LAK50" s="45"/>
      <c r="LAL50" s="45"/>
      <c r="LAM50" s="45"/>
      <c r="LAN50" s="45"/>
      <c r="LAO50" s="45"/>
      <c r="LAP50" s="45"/>
      <c r="LAQ50" s="45"/>
      <c r="LAR50" s="45"/>
      <c r="LAS50" s="45"/>
      <c r="LAT50" s="45"/>
      <c r="LAU50" s="45"/>
      <c r="LAV50" s="45"/>
      <c r="LAW50" s="45"/>
      <c r="LAX50" s="45"/>
      <c r="LAY50" s="45"/>
      <c r="LAZ50" s="45"/>
      <c r="LBA50" s="45"/>
      <c r="LBB50" s="45"/>
      <c r="LBC50" s="45"/>
      <c r="LBD50" s="45"/>
      <c r="LBE50" s="45"/>
      <c r="LBF50" s="45"/>
      <c r="LBG50" s="45"/>
      <c r="LBH50" s="45"/>
      <c r="LBI50" s="45"/>
      <c r="LBJ50" s="45"/>
      <c r="LBK50" s="45"/>
      <c r="LBL50" s="45"/>
      <c r="LBM50" s="45"/>
      <c r="LBN50" s="45"/>
      <c r="LBO50" s="45"/>
      <c r="LBP50" s="45"/>
      <c r="LBQ50" s="45"/>
      <c r="LBR50" s="45"/>
      <c r="LBS50" s="45"/>
      <c r="LBT50" s="45"/>
      <c r="LBU50" s="45"/>
      <c r="LBV50" s="45"/>
      <c r="LBW50" s="45"/>
      <c r="LBX50" s="45"/>
      <c r="LBY50" s="45"/>
      <c r="LBZ50" s="45"/>
      <c r="LCA50" s="45"/>
      <c r="LCB50" s="45"/>
      <c r="LCC50" s="45"/>
      <c r="LCD50" s="45"/>
      <c r="LCE50" s="45"/>
      <c r="LCF50" s="45"/>
      <c r="LCG50" s="45"/>
      <c r="LCH50" s="45"/>
      <c r="LCI50" s="45"/>
      <c r="LCJ50" s="45"/>
      <c r="LCK50" s="45"/>
      <c r="LCL50" s="45"/>
      <c r="LCM50" s="45"/>
      <c r="LCN50" s="45"/>
      <c r="LCO50" s="45"/>
      <c r="LCP50" s="45"/>
      <c r="LCQ50" s="45"/>
      <c r="LCR50" s="45"/>
      <c r="LCS50" s="45"/>
      <c r="LCT50" s="45"/>
      <c r="LCU50" s="45"/>
      <c r="LCV50" s="45"/>
      <c r="LCW50" s="45"/>
      <c r="LCX50" s="45"/>
      <c r="LCY50" s="45"/>
      <c r="LCZ50" s="45"/>
      <c r="LDA50" s="45"/>
      <c r="LDB50" s="45"/>
      <c r="LDC50" s="45"/>
      <c r="LDD50" s="45"/>
      <c r="LDE50" s="45"/>
      <c r="LDF50" s="45"/>
      <c r="LDG50" s="45"/>
      <c r="LDH50" s="45"/>
      <c r="LDI50" s="45"/>
      <c r="LDJ50" s="45"/>
      <c r="LDK50" s="45"/>
      <c r="LDL50" s="45"/>
      <c r="LDM50" s="45"/>
      <c r="LDN50" s="45"/>
      <c r="LDO50" s="45"/>
      <c r="LDP50" s="45"/>
      <c r="LDQ50" s="45"/>
      <c r="LDR50" s="45"/>
      <c r="LDS50" s="45"/>
      <c r="LDT50" s="45"/>
      <c r="LDU50" s="45"/>
      <c r="LDV50" s="45"/>
      <c r="LDW50" s="45"/>
      <c r="LDX50" s="45"/>
      <c r="LDY50" s="45"/>
      <c r="LDZ50" s="45"/>
      <c r="LEA50" s="45"/>
      <c r="LEB50" s="45"/>
      <c r="LEC50" s="45"/>
      <c r="LED50" s="45"/>
      <c r="LEE50" s="45"/>
      <c r="LEF50" s="45"/>
      <c r="LEG50" s="45"/>
      <c r="LEH50" s="45"/>
      <c r="LEI50" s="45"/>
      <c r="LEJ50" s="45"/>
      <c r="LEK50" s="45"/>
      <c r="LEL50" s="45"/>
      <c r="LEM50" s="45"/>
      <c r="LEN50" s="45"/>
      <c r="LEO50" s="45"/>
      <c r="LEP50" s="45"/>
      <c r="LEQ50" s="45"/>
      <c r="LER50" s="45"/>
      <c r="LES50" s="45"/>
      <c r="LET50" s="45"/>
      <c r="LEU50" s="45"/>
      <c r="LEV50" s="45"/>
      <c r="LEW50" s="45"/>
      <c r="LEX50" s="45"/>
      <c r="LEY50" s="45"/>
      <c r="LEZ50" s="45"/>
      <c r="LFA50" s="45"/>
      <c r="LFB50" s="45"/>
      <c r="LFC50" s="45"/>
      <c r="LFD50" s="45"/>
      <c r="LFE50" s="45"/>
      <c r="LFF50" s="45"/>
      <c r="LFG50" s="45"/>
      <c r="LFH50" s="45"/>
      <c r="LFI50" s="45"/>
      <c r="LFJ50" s="45"/>
      <c r="LFK50" s="45"/>
      <c r="LFL50" s="45"/>
      <c r="LFM50" s="45"/>
      <c r="LFN50" s="45"/>
      <c r="LFO50" s="45"/>
      <c r="LFP50" s="45"/>
      <c r="LFQ50" s="45"/>
      <c r="LFR50" s="45"/>
      <c r="LFS50" s="45"/>
      <c r="LFT50" s="45"/>
      <c r="LFU50" s="45"/>
      <c r="LFV50" s="45"/>
      <c r="LFW50" s="45"/>
      <c r="LFX50" s="45"/>
      <c r="LFY50" s="45"/>
      <c r="LFZ50" s="45"/>
      <c r="LGA50" s="45"/>
      <c r="LGB50" s="45"/>
      <c r="LGC50" s="45"/>
      <c r="LGD50" s="45"/>
      <c r="LGE50" s="45"/>
      <c r="LGF50" s="45"/>
      <c r="LGG50" s="45"/>
      <c r="LGH50" s="45"/>
      <c r="LGI50" s="45"/>
      <c r="LGJ50" s="45"/>
      <c r="LGK50" s="45"/>
      <c r="LGL50" s="45"/>
      <c r="LGM50" s="45"/>
      <c r="LGN50" s="45"/>
      <c r="LGO50" s="45"/>
      <c r="LGP50" s="45"/>
      <c r="LGQ50" s="45"/>
      <c r="LGR50" s="45"/>
      <c r="LGS50" s="45"/>
      <c r="LGT50" s="45"/>
      <c r="LGU50" s="45"/>
      <c r="LGV50" s="45"/>
      <c r="LGW50" s="45"/>
      <c r="LGX50" s="45"/>
      <c r="LGY50" s="45"/>
      <c r="LGZ50" s="45"/>
      <c r="LHA50" s="45"/>
      <c r="LHB50" s="45"/>
      <c r="LHC50" s="45"/>
      <c r="LHD50" s="45"/>
      <c r="LHE50" s="45"/>
      <c r="LHF50" s="45"/>
      <c r="LHG50" s="45"/>
      <c r="LHH50" s="45"/>
      <c r="LHI50" s="45"/>
      <c r="LHJ50" s="45"/>
      <c r="LHK50" s="45"/>
      <c r="LHL50" s="45"/>
      <c r="LHM50" s="45"/>
      <c r="LHN50" s="45"/>
      <c r="LHO50" s="45"/>
      <c r="LHP50" s="45"/>
      <c r="LHQ50" s="45"/>
      <c r="LHR50" s="45"/>
      <c r="LHS50" s="45"/>
      <c r="LHT50" s="45"/>
      <c r="LHU50" s="45"/>
      <c r="LHV50" s="45"/>
      <c r="LHW50" s="45"/>
      <c r="LHX50" s="45"/>
      <c r="LHY50" s="45"/>
      <c r="LHZ50" s="45"/>
      <c r="LIA50" s="45"/>
      <c r="LIB50" s="45"/>
      <c r="LIC50" s="45"/>
      <c r="LID50" s="45"/>
      <c r="LIE50" s="45"/>
      <c r="LIF50" s="45"/>
      <c r="LIG50" s="45"/>
      <c r="LIH50" s="45"/>
      <c r="LII50" s="45"/>
      <c r="LIJ50" s="45"/>
      <c r="LIK50" s="45"/>
      <c r="LIL50" s="45"/>
      <c r="LIM50" s="45"/>
      <c r="LIN50" s="45"/>
      <c r="LIO50" s="45"/>
      <c r="LIP50" s="45"/>
      <c r="LIQ50" s="45"/>
      <c r="LIR50" s="45"/>
      <c r="LIS50" s="45"/>
      <c r="LIT50" s="45"/>
      <c r="LIU50" s="45"/>
      <c r="LIV50" s="45"/>
      <c r="LIW50" s="45"/>
      <c r="LIX50" s="45"/>
      <c r="LIY50" s="45"/>
      <c r="LIZ50" s="45"/>
      <c r="LJA50" s="45"/>
      <c r="LJB50" s="45"/>
      <c r="LJC50" s="45"/>
      <c r="LJD50" s="45"/>
      <c r="LJE50" s="45"/>
      <c r="LJF50" s="45"/>
      <c r="LJG50" s="45"/>
      <c r="LJH50" s="45"/>
      <c r="LJI50" s="45"/>
      <c r="LJJ50" s="45"/>
      <c r="LJK50" s="45"/>
      <c r="LJL50" s="45"/>
      <c r="LJM50" s="45"/>
      <c r="LJN50" s="45"/>
      <c r="LJO50" s="45"/>
      <c r="LJP50" s="45"/>
      <c r="LJQ50" s="45"/>
      <c r="LJR50" s="45"/>
      <c r="LJS50" s="45"/>
      <c r="LJT50" s="45"/>
      <c r="LJU50" s="45"/>
      <c r="LJV50" s="45"/>
      <c r="LJW50" s="45"/>
      <c r="LJX50" s="45"/>
      <c r="LJY50" s="45"/>
      <c r="LJZ50" s="45"/>
      <c r="LKA50" s="45"/>
      <c r="LKB50" s="45"/>
      <c r="LKC50" s="45"/>
      <c r="LKD50" s="45"/>
      <c r="LKE50" s="45"/>
      <c r="LKF50" s="45"/>
      <c r="LKG50" s="45"/>
      <c r="LKH50" s="45"/>
      <c r="LKI50" s="45"/>
      <c r="LKJ50" s="45"/>
      <c r="LKK50" s="45"/>
      <c r="LKL50" s="45"/>
      <c r="LKM50" s="45"/>
      <c r="LKN50" s="45"/>
      <c r="LKO50" s="45"/>
      <c r="LKP50" s="45"/>
      <c r="LKQ50" s="45"/>
      <c r="LKR50" s="45"/>
      <c r="LKS50" s="45"/>
      <c r="LKT50" s="45"/>
      <c r="LKU50" s="45"/>
      <c r="LKV50" s="45"/>
      <c r="LKW50" s="45"/>
      <c r="LKX50" s="45"/>
      <c r="LKY50" s="45"/>
      <c r="LKZ50" s="45"/>
      <c r="LLA50" s="45"/>
      <c r="LLB50" s="45"/>
      <c r="LLC50" s="45"/>
      <c r="LLD50" s="45"/>
      <c r="LLE50" s="45"/>
      <c r="LLF50" s="45"/>
      <c r="LLG50" s="45"/>
      <c r="LLH50" s="45"/>
      <c r="LLI50" s="45"/>
      <c r="LLJ50" s="45"/>
      <c r="LLK50" s="45"/>
      <c r="LLL50" s="45"/>
      <c r="LLM50" s="45"/>
      <c r="LLN50" s="45"/>
      <c r="LLO50" s="45"/>
      <c r="LLP50" s="45"/>
      <c r="LLQ50" s="45"/>
      <c r="LLR50" s="45"/>
      <c r="LLS50" s="45"/>
      <c r="LLT50" s="45"/>
      <c r="LLU50" s="45"/>
      <c r="LLV50" s="45"/>
      <c r="LLW50" s="45"/>
      <c r="LLX50" s="45"/>
      <c r="LLY50" s="45"/>
      <c r="LLZ50" s="45"/>
      <c r="LMA50" s="45"/>
      <c r="LMB50" s="45"/>
      <c r="LMC50" s="45"/>
      <c r="LMD50" s="45"/>
      <c r="LME50" s="45"/>
      <c r="LMF50" s="45"/>
      <c r="LMG50" s="45"/>
      <c r="LMH50" s="45"/>
      <c r="LMI50" s="45"/>
      <c r="LMJ50" s="45"/>
      <c r="LMK50" s="45"/>
      <c r="LML50" s="45"/>
      <c r="LMM50" s="45"/>
      <c r="LMN50" s="45"/>
      <c r="LMO50" s="45"/>
      <c r="LMP50" s="45"/>
      <c r="LMQ50" s="45"/>
      <c r="LMR50" s="45"/>
      <c r="LMS50" s="45"/>
      <c r="LMT50" s="45"/>
      <c r="LMU50" s="45"/>
      <c r="LMV50" s="45"/>
      <c r="LMW50" s="45"/>
      <c r="LMX50" s="45"/>
      <c r="LMY50" s="45"/>
      <c r="LMZ50" s="45"/>
      <c r="LNA50" s="45"/>
      <c r="LNB50" s="45"/>
      <c r="LNC50" s="45"/>
      <c r="LND50" s="45"/>
      <c r="LNE50" s="45"/>
      <c r="LNF50" s="45"/>
      <c r="LNG50" s="45"/>
      <c r="LNH50" s="45"/>
      <c r="LNI50" s="45"/>
      <c r="LNJ50" s="45"/>
      <c r="LNK50" s="45"/>
      <c r="LNL50" s="45"/>
      <c r="LNM50" s="45"/>
      <c r="LNN50" s="45"/>
      <c r="LNO50" s="45"/>
      <c r="LNP50" s="45"/>
      <c r="LNQ50" s="45"/>
      <c r="LNR50" s="45"/>
      <c r="LNS50" s="45"/>
      <c r="LNT50" s="45"/>
      <c r="LNU50" s="45"/>
      <c r="LNV50" s="45"/>
      <c r="LNW50" s="45"/>
      <c r="LNX50" s="45"/>
      <c r="LNY50" s="45"/>
      <c r="LNZ50" s="45"/>
      <c r="LOA50" s="45"/>
      <c r="LOB50" s="45"/>
      <c r="LOC50" s="45"/>
      <c r="LOD50" s="45"/>
      <c r="LOE50" s="45"/>
      <c r="LOF50" s="45"/>
      <c r="LOG50" s="45"/>
      <c r="LOH50" s="45"/>
      <c r="LOI50" s="45"/>
      <c r="LOJ50" s="45"/>
      <c r="LOK50" s="45"/>
      <c r="LOL50" s="45"/>
      <c r="LOM50" s="45"/>
      <c r="LON50" s="45"/>
      <c r="LOO50" s="45"/>
      <c r="LOP50" s="45"/>
      <c r="LOQ50" s="45"/>
      <c r="LOR50" s="45"/>
      <c r="LOS50" s="45"/>
      <c r="LOT50" s="45"/>
      <c r="LOU50" s="45"/>
      <c r="LOV50" s="45"/>
      <c r="LOW50" s="45"/>
      <c r="LOX50" s="45"/>
      <c r="LOY50" s="45"/>
      <c r="LOZ50" s="45"/>
      <c r="LPA50" s="45"/>
      <c r="LPB50" s="45"/>
      <c r="LPC50" s="45"/>
      <c r="LPD50" s="45"/>
      <c r="LPE50" s="45"/>
      <c r="LPF50" s="45"/>
      <c r="LPG50" s="45"/>
      <c r="LPH50" s="45"/>
      <c r="LPI50" s="45"/>
      <c r="LPJ50" s="45"/>
      <c r="LPK50" s="45"/>
      <c r="LPL50" s="45"/>
      <c r="LPM50" s="45"/>
      <c r="LPN50" s="45"/>
      <c r="LPO50" s="45"/>
      <c r="LPP50" s="45"/>
      <c r="LPQ50" s="45"/>
      <c r="LPR50" s="45"/>
      <c r="LPS50" s="45"/>
      <c r="LPT50" s="45"/>
      <c r="LPU50" s="45"/>
      <c r="LPV50" s="45"/>
      <c r="LPW50" s="45"/>
      <c r="LPX50" s="45"/>
      <c r="LPY50" s="45"/>
      <c r="LPZ50" s="45"/>
      <c r="LQA50" s="45"/>
      <c r="LQB50" s="45"/>
      <c r="LQC50" s="45"/>
      <c r="LQD50" s="45"/>
      <c r="LQE50" s="45"/>
      <c r="LQF50" s="45"/>
      <c r="LQG50" s="45"/>
      <c r="LQH50" s="45"/>
      <c r="LQI50" s="45"/>
      <c r="LQJ50" s="45"/>
      <c r="LQK50" s="45"/>
      <c r="LQL50" s="45"/>
      <c r="LQM50" s="45"/>
      <c r="LQN50" s="45"/>
      <c r="LQO50" s="45"/>
      <c r="LQP50" s="45"/>
      <c r="LQQ50" s="45"/>
      <c r="LQR50" s="45"/>
      <c r="LQS50" s="45"/>
      <c r="LQT50" s="45"/>
      <c r="LQU50" s="45"/>
      <c r="LQV50" s="45"/>
      <c r="LQW50" s="45"/>
      <c r="LQX50" s="45"/>
      <c r="LQY50" s="45"/>
      <c r="LQZ50" s="45"/>
      <c r="LRA50" s="45"/>
      <c r="LRB50" s="45"/>
      <c r="LRC50" s="45"/>
      <c r="LRD50" s="45"/>
      <c r="LRE50" s="45"/>
      <c r="LRF50" s="45"/>
      <c r="LRG50" s="45"/>
      <c r="LRH50" s="45"/>
      <c r="LRI50" s="45"/>
      <c r="LRJ50" s="45"/>
      <c r="LRK50" s="45"/>
      <c r="LRL50" s="45"/>
      <c r="LRM50" s="45"/>
      <c r="LRN50" s="45"/>
      <c r="LRO50" s="45"/>
      <c r="LRP50" s="45"/>
      <c r="LRQ50" s="45"/>
      <c r="LRR50" s="45"/>
      <c r="LRS50" s="45"/>
      <c r="LRT50" s="45"/>
      <c r="LRU50" s="45"/>
      <c r="LRV50" s="45"/>
      <c r="LRW50" s="45"/>
      <c r="LRX50" s="45"/>
      <c r="LRY50" s="45"/>
      <c r="LRZ50" s="45"/>
      <c r="LSA50" s="45"/>
      <c r="LSB50" s="45"/>
      <c r="LSC50" s="45"/>
      <c r="LSD50" s="45"/>
      <c r="LSE50" s="45"/>
      <c r="LSF50" s="45"/>
      <c r="LSG50" s="45"/>
      <c r="LSH50" s="45"/>
      <c r="LSI50" s="45"/>
      <c r="LSJ50" s="45"/>
      <c r="LSK50" s="45"/>
      <c r="LSL50" s="45"/>
      <c r="LSM50" s="45"/>
      <c r="LSN50" s="45"/>
      <c r="LSO50" s="45"/>
      <c r="LSP50" s="45"/>
      <c r="LSQ50" s="45"/>
      <c r="LSR50" s="45"/>
      <c r="LSS50" s="45"/>
      <c r="LST50" s="45"/>
      <c r="LSU50" s="45"/>
      <c r="LSV50" s="45"/>
      <c r="LSW50" s="45"/>
      <c r="LSX50" s="45"/>
      <c r="LSY50" s="45"/>
      <c r="LSZ50" s="45"/>
      <c r="LTA50" s="45"/>
      <c r="LTB50" s="45"/>
      <c r="LTC50" s="45"/>
      <c r="LTD50" s="45"/>
      <c r="LTE50" s="45"/>
      <c r="LTF50" s="45"/>
      <c r="LTG50" s="45"/>
      <c r="LTH50" s="45"/>
      <c r="LTI50" s="45"/>
      <c r="LTJ50" s="45"/>
      <c r="LTK50" s="45"/>
      <c r="LTL50" s="45"/>
      <c r="LTM50" s="45"/>
      <c r="LTN50" s="45"/>
      <c r="LTO50" s="45"/>
      <c r="LTP50" s="45"/>
      <c r="LTQ50" s="45"/>
      <c r="LTR50" s="45"/>
      <c r="LTS50" s="45"/>
      <c r="LTT50" s="45"/>
      <c r="LTU50" s="45"/>
      <c r="LTV50" s="45"/>
      <c r="LTW50" s="45"/>
      <c r="LTX50" s="45"/>
      <c r="LTY50" s="45"/>
      <c r="LTZ50" s="45"/>
      <c r="LUA50" s="45"/>
      <c r="LUB50" s="45"/>
      <c r="LUC50" s="45"/>
      <c r="LUD50" s="45"/>
      <c r="LUE50" s="45"/>
      <c r="LUF50" s="45"/>
      <c r="LUG50" s="45"/>
      <c r="LUH50" s="45"/>
      <c r="LUI50" s="45"/>
      <c r="LUJ50" s="45"/>
      <c r="LUK50" s="45"/>
      <c r="LUL50" s="45"/>
      <c r="LUM50" s="45"/>
      <c r="LUN50" s="45"/>
      <c r="LUO50" s="45"/>
      <c r="LUP50" s="45"/>
      <c r="LUQ50" s="45"/>
      <c r="LUR50" s="45"/>
      <c r="LUS50" s="45"/>
      <c r="LUT50" s="45"/>
      <c r="LUU50" s="45"/>
      <c r="LUV50" s="45"/>
      <c r="LUW50" s="45"/>
      <c r="LUX50" s="45"/>
      <c r="LUY50" s="45"/>
      <c r="LUZ50" s="45"/>
      <c r="LVA50" s="45"/>
      <c r="LVB50" s="45"/>
      <c r="LVC50" s="45"/>
      <c r="LVD50" s="45"/>
      <c r="LVE50" s="45"/>
      <c r="LVF50" s="45"/>
      <c r="LVG50" s="45"/>
      <c r="LVH50" s="45"/>
      <c r="LVI50" s="45"/>
      <c r="LVJ50" s="45"/>
      <c r="LVK50" s="45"/>
      <c r="LVL50" s="45"/>
      <c r="LVM50" s="45"/>
      <c r="LVN50" s="45"/>
      <c r="LVO50" s="45"/>
      <c r="LVP50" s="45"/>
      <c r="LVQ50" s="45"/>
      <c r="LVR50" s="45"/>
      <c r="LVS50" s="45"/>
      <c r="LVT50" s="45"/>
      <c r="LVU50" s="45"/>
      <c r="LVV50" s="45"/>
      <c r="LVW50" s="45"/>
      <c r="LVX50" s="45"/>
      <c r="LVY50" s="45"/>
      <c r="LVZ50" s="45"/>
      <c r="LWA50" s="45"/>
      <c r="LWB50" s="45"/>
      <c r="LWC50" s="45"/>
      <c r="LWD50" s="45"/>
      <c r="LWE50" s="45"/>
      <c r="LWF50" s="45"/>
      <c r="LWG50" s="45"/>
      <c r="LWH50" s="45"/>
      <c r="LWI50" s="45"/>
      <c r="LWJ50" s="45"/>
      <c r="LWK50" s="45"/>
      <c r="LWL50" s="45"/>
      <c r="LWM50" s="45"/>
      <c r="LWN50" s="45"/>
      <c r="LWO50" s="45"/>
      <c r="LWP50" s="45"/>
      <c r="LWQ50" s="45"/>
      <c r="LWR50" s="45"/>
      <c r="LWS50" s="45"/>
      <c r="LWT50" s="45"/>
      <c r="LWU50" s="45"/>
      <c r="LWV50" s="45"/>
      <c r="LWW50" s="45"/>
      <c r="LWX50" s="45"/>
      <c r="LWY50" s="45"/>
      <c r="LWZ50" s="45"/>
      <c r="LXA50" s="45"/>
      <c r="LXB50" s="45"/>
      <c r="LXC50" s="45"/>
      <c r="LXD50" s="45"/>
      <c r="LXE50" s="45"/>
      <c r="LXF50" s="45"/>
      <c r="LXG50" s="45"/>
      <c r="LXH50" s="45"/>
      <c r="LXI50" s="45"/>
      <c r="LXJ50" s="45"/>
      <c r="LXK50" s="45"/>
      <c r="LXL50" s="45"/>
      <c r="LXM50" s="45"/>
      <c r="LXN50" s="45"/>
      <c r="LXO50" s="45"/>
      <c r="LXP50" s="45"/>
      <c r="LXQ50" s="45"/>
      <c r="LXR50" s="45"/>
      <c r="LXS50" s="45"/>
      <c r="LXT50" s="45"/>
      <c r="LXU50" s="45"/>
      <c r="LXV50" s="45"/>
      <c r="LXW50" s="45"/>
      <c r="LXX50" s="45"/>
      <c r="LXY50" s="45"/>
      <c r="LXZ50" s="45"/>
      <c r="LYA50" s="45"/>
      <c r="LYB50" s="45"/>
      <c r="LYC50" s="45"/>
      <c r="LYD50" s="45"/>
      <c r="LYE50" s="45"/>
      <c r="LYF50" s="45"/>
      <c r="LYG50" s="45"/>
      <c r="LYH50" s="45"/>
      <c r="LYI50" s="45"/>
      <c r="LYJ50" s="45"/>
      <c r="LYK50" s="45"/>
      <c r="LYL50" s="45"/>
      <c r="LYM50" s="45"/>
      <c r="LYN50" s="45"/>
      <c r="LYO50" s="45"/>
      <c r="LYP50" s="45"/>
      <c r="LYQ50" s="45"/>
      <c r="LYR50" s="45"/>
      <c r="LYS50" s="45"/>
      <c r="LYT50" s="45"/>
      <c r="LYU50" s="45"/>
      <c r="LYV50" s="45"/>
      <c r="LYW50" s="45"/>
      <c r="LYX50" s="45"/>
      <c r="LYY50" s="45"/>
      <c r="LYZ50" s="45"/>
      <c r="LZA50" s="45"/>
      <c r="LZB50" s="45"/>
      <c r="LZC50" s="45"/>
      <c r="LZD50" s="45"/>
      <c r="LZE50" s="45"/>
      <c r="LZF50" s="45"/>
      <c r="LZG50" s="45"/>
      <c r="LZH50" s="45"/>
      <c r="LZI50" s="45"/>
      <c r="LZJ50" s="45"/>
      <c r="LZK50" s="45"/>
      <c r="LZL50" s="45"/>
      <c r="LZM50" s="45"/>
      <c r="LZN50" s="45"/>
      <c r="LZO50" s="45"/>
      <c r="LZP50" s="45"/>
      <c r="LZQ50" s="45"/>
      <c r="LZR50" s="45"/>
      <c r="LZS50" s="45"/>
      <c r="LZT50" s="45"/>
      <c r="LZU50" s="45"/>
      <c r="LZV50" s="45"/>
      <c r="LZW50" s="45"/>
      <c r="LZX50" s="45"/>
      <c r="LZY50" s="45"/>
      <c r="LZZ50" s="45"/>
      <c r="MAA50" s="45"/>
      <c r="MAB50" s="45"/>
      <c r="MAC50" s="45"/>
      <c r="MAD50" s="45"/>
      <c r="MAE50" s="45"/>
      <c r="MAF50" s="45"/>
      <c r="MAG50" s="45"/>
      <c r="MAH50" s="45"/>
      <c r="MAI50" s="45"/>
      <c r="MAJ50" s="45"/>
      <c r="MAK50" s="45"/>
      <c r="MAL50" s="45"/>
      <c r="MAM50" s="45"/>
      <c r="MAN50" s="45"/>
      <c r="MAO50" s="45"/>
      <c r="MAP50" s="45"/>
      <c r="MAQ50" s="45"/>
      <c r="MAR50" s="45"/>
      <c r="MAS50" s="45"/>
      <c r="MAT50" s="45"/>
      <c r="MAU50" s="45"/>
      <c r="MAV50" s="45"/>
      <c r="MAW50" s="45"/>
      <c r="MAX50" s="45"/>
      <c r="MAY50" s="45"/>
      <c r="MAZ50" s="45"/>
      <c r="MBA50" s="45"/>
      <c r="MBB50" s="45"/>
      <c r="MBC50" s="45"/>
      <c r="MBD50" s="45"/>
      <c r="MBE50" s="45"/>
      <c r="MBF50" s="45"/>
      <c r="MBG50" s="45"/>
      <c r="MBH50" s="45"/>
      <c r="MBI50" s="45"/>
      <c r="MBJ50" s="45"/>
      <c r="MBK50" s="45"/>
      <c r="MBL50" s="45"/>
      <c r="MBM50" s="45"/>
      <c r="MBN50" s="45"/>
      <c r="MBO50" s="45"/>
      <c r="MBP50" s="45"/>
      <c r="MBQ50" s="45"/>
      <c r="MBR50" s="45"/>
      <c r="MBS50" s="45"/>
      <c r="MBT50" s="45"/>
      <c r="MBU50" s="45"/>
      <c r="MBV50" s="45"/>
      <c r="MBW50" s="45"/>
      <c r="MBX50" s="45"/>
      <c r="MBY50" s="45"/>
      <c r="MBZ50" s="45"/>
      <c r="MCA50" s="45"/>
      <c r="MCB50" s="45"/>
      <c r="MCC50" s="45"/>
      <c r="MCD50" s="45"/>
      <c r="MCE50" s="45"/>
      <c r="MCF50" s="45"/>
      <c r="MCG50" s="45"/>
      <c r="MCH50" s="45"/>
      <c r="MCI50" s="45"/>
      <c r="MCJ50" s="45"/>
      <c r="MCK50" s="45"/>
      <c r="MCL50" s="45"/>
      <c r="MCM50" s="45"/>
      <c r="MCN50" s="45"/>
      <c r="MCO50" s="45"/>
      <c r="MCP50" s="45"/>
      <c r="MCQ50" s="45"/>
      <c r="MCR50" s="45"/>
      <c r="MCS50" s="45"/>
      <c r="MCT50" s="45"/>
      <c r="MCU50" s="45"/>
      <c r="MCV50" s="45"/>
      <c r="MCW50" s="45"/>
      <c r="MCX50" s="45"/>
      <c r="MCY50" s="45"/>
      <c r="MCZ50" s="45"/>
      <c r="MDA50" s="45"/>
      <c r="MDB50" s="45"/>
      <c r="MDC50" s="45"/>
      <c r="MDD50" s="45"/>
      <c r="MDE50" s="45"/>
      <c r="MDF50" s="45"/>
      <c r="MDG50" s="45"/>
      <c r="MDH50" s="45"/>
      <c r="MDI50" s="45"/>
      <c r="MDJ50" s="45"/>
      <c r="MDK50" s="45"/>
      <c r="MDL50" s="45"/>
      <c r="MDM50" s="45"/>
      <c r="MDN50" s="45"/>
      <c r="MDO50" s="45"/>
      <c r="MDP50" s="45"/>
      <c r="MDQ50" s="45"/>
      <c r="MDR50" s="45"/>
      <c r="MDS50" s="45"/>
      <c r="MDT50" s="45"/>
      <c r="MDU50" s="45"/>
      <c r="MDV50" s="45"/>
      <c r="MDW50" s="45"/>
      <c r="MDX50" s="45"/>
      <c r="MDY50" s="45"/>
      <c r="MDZ50" s="45"/>
      <c r="MEA50" s="45"/>
      <c r="MEB50" s="45"/>
      <c r="MEC50" s="45"/>
      <c r="MED50" s="45"/>
      <c r="MEE50" s="45"/>
      <c r="MEF50" s="45"/>
      <c r="MEG50" s="45"/>
      <c r="MEH50" s="45"/>
      <c r="MEI50" s="45"/>
      <c r="MEJ50" s="45"/>
      <c r="MEK50" s="45"/>
      <c r="MEL50" s="45"/>
      <c r="MEM50" s="45"/>
      <c r="MEN50" s="45"/>
      <c r="MEO50" s="45"/>
      <c r="MEP50" s="45"/>
      <c r="MEQ50" s="45"/>
      <c r="MER50" s="45"/>
      <c r="MES50" s="45"/>
      <c r="MET50" s="45"/>
      <c r="MEU50" s="45"/>
      <c r="MEV50" s="45"/>
      <c r="MEW50" s="45"/>
      <c r="MEX50" s="45"/>
      <c r="MEY50" s="45"/>
      <c r="MEZ50" s="45"/>
      <c r="MFA50" s="45"/>
      <c r="MFB50" s="45"/>
      <c r="MFC50" s="45"/>
      <c r="MFD50" s="45"/>
      <c r="MFE50" s="45"/>
      <c r="MFF50" s="45"/>
      <c r="MFG50" s="45"/>
      <c r="MFH50" s="45"/>
      <c r="MFI50" s="45"/>
      <c r="MFJ50" s="45"/>
      <c r="MFK50" s="45"/>
      <c r="MFL50" s="45"/>
      <c r="MFM50" s="45"/>
      <c r="MFN50" s="45"/>
      <c r="MFO50" s="45"/>
      <c r="MFP50" s="45"/>
      <c r="MFQ50" s="45"/>
      <c r="MFR50" s="45"/>
      <c r="MFS50" s="45"/>
      <c r="MFT50" s="45"/>
      <c r="MFU50" s="45"/>
      <c r="MFV50" s="45"/>
      <c r="MFW50" s="45"/>
      <c r="MFX50" s="45"/>
      <c r="MFY50" s="45"/>
      <c r="MFZ50" s="45"/>
      <c r="MGA50" s="45"/>
      <c r="MGB50" s="45"/>
      <c r="MGC50" s="45"/>
      <c r="MGD50" s="45"/>
      <c r="MGE50" s="45"/>
      <c r="MGF50" s="45"/>
      <c r="MGG50" s="45"/>
      <c r="MGH50" s="45"/>
      <c r="MGI50" s="45"/>
      <c r="MGJ50" s="45"/>
      <c r="MGK50" s="45"/>
      <c r="MGL50" s="45"/>
      <c r="MGM50" s="45"/>
      <c r="MGN50" s="45"/>
      <c r="MGO50" s="45"/>
      <c r="MGP50" s="45"/>
      <c r="MGQ50" s="45"/>
      <c r="MGR50" s="45"/>
      <c r="MGS50" s="45"/>
      <c r="MGT50" s="45"/>
      <c r="MGU50" s="45"/>
      <c r="MGV50" s="45"/>
      <c r="MGW50" s="45"/>
      <c r="MGX50" s="45"/>
      <c r="MGY50" s="45"/>
      <c r="MGZ50" s="45"/>
      <c r="MHA50" s="45"/>
      <c r="MHB50" s="45"/>
      <c r="MHC50" s="45"/>
      <c r="MHD50" s="45"/>
      <c r="MHE50" s="45"/>
      <c r="MHF50" s="45"/>
      <c r="MHG50" s="45"/>
      <c r="MHH50" s="45"/>
      <c r="MHI50" s="45"/>
      <c r="MHJ50" s="45"/>
      <c r="MHK50" s="45"/>
      <c r="MHL50" s="45"/>
      <c r="MHM50" s="45"/>
      <c r="MHN50" s="45"/>
      <c r="MHO50" s="45"/>
      <c r="MHP50" s="45"/>
      <c r="MHQ50" s="45"/>
      <c r="MHR50" s="45"/>
      <c r="MHS50" s="45"/>
      <c r="MHT50" s="45"/>
      <c r="MHU50" s="45"/>
      <c r="MHV50" s="45"/>
      <c r="MHW50" s="45"/>
      <c r="MHX50" s="45"/>
      <c r="MHY50" s="45"/>
      <c r="MHZ50" s="45"/>
      <c r="MIA50" s="45"/>
      <c r="MIB50" s="45"/>
      <c r="MIC50" s="45"/>
      <c r="MID50" s="45"/>
      <c r="MIE50" s="45"/>
      <c r="MIF50" s="45"/>
      <c r="MIG50" s="45"/>
      <c r="MIH50" s="45"/>
      <c r="MII50" s="45"/>
      <c r="MIJ50" s="45"/>
      <c r="MIK50" s="45"/>
      <c r="MIL50" s="45"/>
      <c r="MIM50" s="45"/>
      <c r="MIN50" s="45"/>
      <c r="MIO50" s="45"/>
      <c r="MIP50" s="45"/>
      <c r="MIQ50" s="45"/>
      <c r="MIR50" s="45"/>
      <c r="MIS50" s="45"/>
      <c r="MIT50" s="45"/>
      <c r="MIU50" s="45"/>
      <c r="MIV50" s="45"/>
      <c r="MIW50" s="45"/>
      <c r="MIX50" s="45"/>
      <c r="MIY50" s="45"/>
      <c r="MIZ50" s="45"/>
      <c r="MJA50" s="45"/>
      <c r="MJB50" s="45"/>
      <c r="MJC50" s="45"/>
      <c r="MJD50" s="45"/>
      <c r="MJE50" s="45"/>
      <c r="MJF50" s="45"/>
      <c r="MJG50" s="45"/>
      <c r="MJH50" s="45"/>
      <c r="MJI50" s="45"/>
      <c r="MJJ50" s="45"/>
      <c r="MJK50" s="45"/>
      <c r="MJL50" s="45"/>
      <c r="MJM50" s="45"/>
      <c r="MJN50" s="45"/>
      <c r="MJO50" s="45"/>
      <c r="MJP50" s="45"/>
      <c r="MJQ50" s="45"/>
      <c r="MJR50" s="45"/>
      <c r="MJS50" s="45"/>
      <c r="MJT50" s="45"/>
      <c r="MJU50" s="45"/>
      <c r="MJV50" s="45"/>
      <c r="MJW50" s="45"/>
      <c r="MJX50" s="45"/>
      <c r="MJY50" s="45"/>
      <c r="MJZ50" s="45"/>
      <c r="MKA50" s="45"/>
      <c r="MKB50" s="45"/>
      <c r="MKC50" s="45"/>
      <c r="MKD50" s="45"/>
      <c r="MKE50" s="45"/>
      <c r="MKF50" s="45"/>
      <c r="MKG50" s="45"/>
      <c r="MKH50" s="45"/>
      <c r="MKI50" s="45"/>
      <c r="MKJ50" s="45"/>
      <c r="MKK50" s="45"/>
      <c r="MKL50" s="45"/>
      <c r="MKM50" s="45"/>
      <c r="MKN50" s="45"/>
      <c r="MKO50" s="45"/>
      <c r="MKP50" s="45"/>
      <c r="MKQ50" s="45"/>
      <c r="MKR50" s="45"/>
      <c r="MKS50" s="45"/>
      <c r="MKT50" s="45"/>
      <c r="MKU50" s="45"/>
      <c r="MKV50" s="45"/>
      <c r="MKW50" s="45"/>
      <c r="MKX50" s="45"/>
      <c r="MKY50" s="45"/>
      <c r="MKZ50" s="45"/>
      <c r="MLA50" s="45"/>
      <c r="MLB50" s="45"/>
      <c r="MLC50" s="45"/>
      <c r="MLD50" s="45"/>
      <c r="MLE50" s="45"/>
      <c r="MLF50" s="45"/>
      <c r="MLG50" s="45"/>
      <c r="MLH50" s="45"/>
      <c r="MLI50" s="45"/>
      <c r="MLJ50" s="45"/>
      <c r="MLK50" s="45"/>
      <c r="MLL50" s="45"/>
      <c r="MLM50" s="45"/>
      <c r="MLN50" s="45"/>
      <c r="MLO50" s="45"/>
      <c r="MLP50" s="45"/>
      <c r="MLQ50" s="45"/>
      <c r="MLR50" s="45"/>
      <c r="MLS50" s="45"/>
      <c r="MLT50" s="45"/>
      <c r="MLU50" s="45"/>
      <c r="MLV50" s="45"/>
      <c r="MLW50" s="45"/>
      <c r="MLX50" s="45"/>
      <c r="MLY50" s="45"/>
      <c r="MLZ50" s="45"/>
      <c r="MMA50" s="45"/>
      <c r="MMB50" s="45"/>
      <c r="MMC50" s="45"/>
      <c r="MMD50" s="45"/>
      <c r="MME50" s="45"/>
      <c r="MMF50" s="45"/>
      <c r="MMG50" s="45"/>
      <c r="MMH50" s="45"/>
      <c r="MMI50" s="45"/>
      <c r="MMJ50" s="45"/>
      <c r="MMK50" s="45"/>
      <c r="MML50" s="45"/>
      <c r="MMM50" s="45"/>
      <c r="MMN50" s="45"/>
      <c r="MMO50" s="45"/>
      <c r="MMP50" s="45"/>
      <c r="MMQ50" s="45"/>
      <c r="MMR50" s="45"/>
      <c r="MMS50" s="45"/>
      <c r="MMT50" s="45"/>
      <c r="MMU50" s="45"/>
      <c r="MMV50" s="45"/>
      <c r="MMW50" s="45"/>
      <c r="MMX50" s="45"/>
      <c r="MMY50" s="45"/>
      <c r="MMZ50" s="45"/>
      <c r="MNA50" s="45"/>
      <c r="MNB50" s="45"/>
      <c r="MNC50" s="45"/>
      <c r="MND50" s="45"/>
      <c r="MNE50" s="45"/>
      <c r="MNF50" s="45"/>
      <c r="MNG50" s="45"/>
      <c r="MNH50" s="45"/>
      <c r="MNI50" s="45"/>
      <c r="MNJ50" s="45"/>
      <c r="MNK50" s="45"/>
      <c r="MNL50" s="45"/>
      <c r="MNM50" s="45"/>
      <c r="MNN50" s="45"/>
      <c r="MNO50" s="45"/>
      <c r="MNP50" s="45"/>
      <c r="MNQ50" s="45"/>
      <c r="MNR50" s="45"/>
      <c r="MNS50" s="45"/>
      <c r="MNT50" s="45"/>
      <c r="MNU50" s="45"/>
      <c r="MNV50" s="45"/>
      <c r="MNW50" s="45"/>
      <c r="MNX50" s="45"/>
      <c r="MNY50" s="45"/>
      <c r="MNZ50" s="45"/>
      <c r="MOA50" s="45"/>
      <c r="MOB50" s="45"/>
      <c r="MOC50" s="45"/>
      <c r="MOD50" s="45"/>
      <c r="MOE50" s="45"/>
      <c r="MOF50" s="45"/>
      <c r="MOG50" s="45"/>
      <c r="MOH50" s="45"/>
      <c r="MOI50" s="45"/>
      <c r="MOJ50" s="45"/>
      <c r="MOK50" s="45"/>
      <c r="MOL50" s="45"/>
      <c r="MOM50" s="45"/>
      <c r="MON50" s="45"/>
      <c r="MOO50" s="45"/>
      <c r="MOP50" s="45"/>
      <c r="MOQ50" s="45"/>
      <c r="MOR50" s="45"/>
      <c r="MOS50" s="45"/>
      <c r="MOT50" s="45"/>
      <c r="MOU50" s="45"/>
      <c r="MOV50" s="45"/>
      <c r="MOW50" s="45"/>
      <c r="MOX50" s="45"/>
      <c r="MOY50" s="45"/>
      <c r="MOZ50" s="45"/>
      <c r="MPA50" s="45"/>
      <c r="MPB50" s="45"/>
      <c r="MPC50" s="45"/>
      <c r="MPD50" s="45"/>
      <c r="MPE50" s="45"/>
      <c r="MPF50" s="45"/>
      <c r="MPG50" s="45"/>
      <c r="MPH50" s="45"/>
      <c r="MPI50" s="45"/>
      <c r="MPJ50" s="45"/>
      <c r="MPK50" s="45"/>
      <c r="MPL50" s="45"/>
      <c r="MPM50" s="45"/>
      <c r="MPN50" s="45"/>
      <c r="MPO50" s="45"/>
      <c r="MPP50" s="45"/>
      <c r="MPQ50" s="45"/>
      <c r="MPR50" s="45"/>
      <c r="MPS50" s="45"/>
      <c r="MPT50" s="45"/>
      <c r="MPU50" s="45"/>
      <c r="MPV50" s="45"/>
      <c r="MPW50" s="45"/>
      <c r="MPX50" s="45"/>
      <c r="MPY50" s="45"/>
      <c r="MPZ50" s="45"/>
      <c r="MQA50" s="45"/>
      <c r="MQB50" s="45"/>
      <c r="MQC50" s="45"/>
      <c r="MQD50" s="45"/>
      <c r="MQE50" s="45"/>
      <c r="MQF50" s="45"/>
      <c r="MQG50" s="45"/>
      <c r="MQH50" s="45"/>
      <c r="MQI50" s="45"/>
      <c r="MQJ50" s="45"/>
      <c r="MQK50" s="45"/>
      <c r="MQL50" s="45"/>
      <c r="MQM50" s="45"/>
      <c r="MQN50" s="45"/>
      <c r="MQO50" s="45"/>
      <c r="MQP50" s="45"/>
      <c r="MQQ50" s="45"/>
      <c r="MQR50" s="45"/>
      <c r="MQS50" s="45"/>
      <c r="MQT50" s="45"/>
      <c r="MQU50" s="45"/>
      <c r="MQV50" s="45"/>
      <c r="MQW50" s="45"/>
      <c r="MQX50" s="45"/>
      <c r="MQY50" s="45"/>
      <c r="MQZ50" s="45"/>
      <c r="MRA50" s="45"/>
      <c r="MRB50" s="45"/>
      <c r="MRC50" s="45"/>
      <c r="MRD50" s="45"/>
      <c r="MRE50" s="45"/>
      <c r="MRF50" s="45"/>
      <c r="MRG50" s="45"/>
      <c r="MRH50" s="45"/>
      <c r="MRI50" s="45"/>
      <c r="MRJ50" s="45"/>
      <c r="MRK50" s="45"/>
      <c r="MRL50" s="45"/>
      <c r="MRM50" s="45"/>
      <c r="MRN50" s="45"/>
      <c r="MRO50" s="45"/>
      <c r="MRP50" s="45"/>
      <c r="MRQ50" s="45"/>
      <c r="MRR50" s="45"/>
      <c r="MRS50" s="45"/>
      <c r="MRT50" s="45"/>
      <c r="MRU50" s="45"/>
      <c r="MRV50" s="45"/>
      <c r="MRW50" s="45"/>
      <c r="MRX50" s="45"/>
      <c r="MRY50" s="45"/>
      <c r="MRZ50" s="45"/>
      <c r="MSA50" s="45"/>
      <c r="MSB50" s="45"/>
      <c r="MSC50" s="45"/>
      <c r="MSD50" s="45"/>
      <c r="MSE50" s="45"/>
      <c r="MSF50" s="45"/>
      <c r="MSG50" s="45"/>
      <c r="MSH50" s="45"/>
      <c r="MSI50" s="45"/>
      <c r="MSJ50" s="45"/>
      <c r="MSK50" s="45"/>
      <c r="MSL50" s="45"/>
      <c r="MSM50" s="45"/>
      <c r="MSN50" s="45"/>
      <c r="MSO50" s="45"/>
      <c r="MSP50" s="45"/>
      <c r="MSQ50" s="45"/>
      <c r="MSR50" s="45"/>
      <c r="MSS50" s="45"/>
      <c r="MST50" s="45"/>
      <c r="MSU50" s="45"/>
      <c r="MSV50" s="45"/>
      <c r="MSW50" s="45"/>
      <c r="MSX50" s="45"/>
      <c r="MSY50" s="45"/>
      <c r="MSZ50" s="45"/>
      <c r="MTA50" s="45"/>
      <c r="MTB50" s="45"/>
      <c r="MTC50" s="45"/>
      <c r="MTD50" s="45"/>
      <c r="MTE50" s="45"/>
      <c r="MTF50" s="45"/>
      <c r="MTG50" s="45"/>
      <c r="MTH50" s="45"/>
      <c r="MTI50" s="45"/>
      <c r="MTJ50" s="45"/>
      <c r="MTK50" s="45"/>
      <c r="MTL50" s="45"/>
      <c r="MTM50" s="45"/>
      <c r="MTN50" s="45"/>
      <c r="MTO50" s="45"/>
      <c r="MTP50" s="45"/>
      <c r="MTQ50" s="45"/>
      <c r="MTR50" s="45"/>
      <c r="MTS50" s="45"/>
      <c r="MTT50" s="45"/>
      <c r="MTU50" s="45"/>
      <c r="MTV50" s="45"/>
      <c r="MTW50" s="45"/>
      <c r="MTX50" s="45"/>
      <c r="MTY50" s="45"/>
      <c r="MTZ50" s="45"/>
      <c r="MUA50" s="45"/>
      <c r="MUB50" s="45"/>
      <c r="MUC50" s="45"/>
      <c r="MUD50" s="45"/>
      <c r="MUE50" s="45"/>
      <c r="MUF50" s="45"/>
      <c r="MUG50" s="45"/>
      <c r="MUH50" s="45"/>
      <c r="MUI50" s="45"/>
      <c r="MUJ50" s="45"/>
      <c r="MUK50" s="45"/>
      <c r="MUL50" s="45"/>
      <c r="MUM50" s="45"/>
      <c r="MUN50" s="45"/>
      <c r="MUO50" s="45"/>
      <c r="MUP50" s="45"/>
      <c r="MUQ50" s="45"/>
      <c r="MUR50" s="45"/>
      <c r="MUS50" s="45"/>
      <c r="MUT50" s="45"/>
      <c r="MUU50" s="45"/>
      <c r="MUV50" s="45"/>
      <c r="MUW50" s="45"/>
      <c r="MUX50" s="45"/>
      <c r="MUY50" s="45"/>
      <c r="MUZ50" s="45"/>
      <c r="MVA50" s="45"/>
      <c r="MVB50" s="45"/>
      <c r="MVC50" s="45"/>
      <c r="MVD50" s="45"/>
      <c r="MVE50" s="45"/>
      <c r="MVF50" s="45"/>
      <c r="MVG50" s="45"/>
      <c r="MVH50" s="45"/>
      <c r="MVI50" s="45"/>
      <c r="MVJ50" s="45"/>
      <c r="MVK50" s="45"/>
      <c r="MVL50" s="45"/>
      <c r="MVM50" s="45"/>
      <c r="MVN50" s="45"/>
      <c r="MVO50" s="45"/>
      <c r="MVP50" s="45"/>
      <c r="MVQ50" s="45"/>
      <c r="MVR50" s="45"/>
      <c r="MVS50" s="45"/>
      <c r="MVT50" s="45"/>
      <c r="MVU50" s="45"/>
      <c r="MVV50" s="45"/>
      <c r="MVW50" s="45"/>
      <c r="MVX50" s="45"/>
      <c r="MVY50" s="45"/>
      <c r="MVZ50" s="45"/>
      <c r="MWA50" s="45"/>
      <c r="MWB50" s="45"/>
      <c r="MWC50" s="45"/>
      <c r="MWD50" s="45"/>
      <c r="MWE50" s="45"/>
      <c r="MWF50" s="45"/>
      <c r="MWG50" s="45"/>
      <c r="MWH50" s="45"/>
      <c r="MWI50" s="45"/>
      <c r="MWJ50" s="45"/>
      <c r="MWK50" s="45"/>
      <c r="MWL50" s="45"/>
      <c r="MWM50" s="45"/>
      <c r="MWN50" s="45"/>
      <c r="MWO50" s="45"/>
      <c r="MWP50" s="45"/>
      <c r="MWQ50" s="45"/>
      <c r="MWR50" s="45"/>
      <c r="MWS50" s="45"/>
      <c r="MWT50" s="45"/>
      <c r="MWU50" s="45"/>
      <c r="MWV50" s="45"/>
      <c r="MWW50" s="45"/>
      <c r="MWX50" s="45"/>
      <c r="MWY50" s="45"/>
      <c r="MWZ50" s="45"/>
      <c r="MXA50" s="45"/>
      <c r="MXB50" s="45"/>
      <c r="MXC50" s="45"/>
      <c r="MXD50" s="45"/>
      <c r="MXE50" s="45"/>
      <c r="MXF50" s="45"/>
      <c r="MXG50" s="45"/>
      <c r="MXH50" s="45"/>
      <c r="MXI50" s="45"/>
      <c r="MXJ50" s="45"/>
      <c r="MXK50" s="45"/>
      <c r="MXL50" s="45"/>
      <c r="MXM50" s="45"/>
      <c r="MXN50" s="45"/>
      <c r="MXO50" s="45"/>
      <c r="MXP50" s="45"/>
      <c r="MXQ50" s="45"/>
      <c r="MXR50" s="45"/>
      <c r="MXS50" s="45"/>
      <c r="MXT50" s="45"/>
      <c r="MXU50" s="45"/>
      <c r="MXV50" s="45"/>
      <c r="MXW50" s="45"/>
      <c r="MXX50" s="45"/>
      <c r="MXY50" s="45"/>
      <c r="MXZ50" s="45"/>
      <c r="MYA50" s="45"/>
      <c r="MYB50" s="45"/>
      <c r="MYC50" s="45"/>
      <c r="MYD50" s="45"/>
      <c r="MYE50" s="45"/>
      <c r="MYF50" s="45"/>
      <c r="MYG50" s="45"/>
      <c r="MYH50" s="45"/>
      <c r="MYI50" s="45"/>
      <c r="MYJ50" s="45"/>
      <c r="MYK50" s="45"/>
      <c r="MYL50" s="45"/>
      <c r="MYM50" s="45"/>
      <c r="MYN50" s="45"/>
      <c r="MYO50" s="45"/>
      <c r="MYP50" s="45"/>
      <c r="MYQ50" s="45"/>
      <c r="MYR50" s="45"/>
      <c r="MYS50" s="45"/>
      <c r="MYT50" s="45"/>
      <c r="MYU50" s="45"/>
      <c r="MYV50" s="45"/>
      <c r="MYW50" s="45"/>
      <c r="MYX50" s="45"/>
      <c r="MYY50" s="45"/>
      <c r="MYZ50" s="45"/>
      <c r="MZA50" s="45"/>
      <c r="MZB50" s="45"/>
      <c r="MZC50" s="45"/>
      <c r="MZD50" s="45"/>
      <c r="MZE50" s="45"/>
      <c r="MZF50" s="45"/>
      <c r="MZG50" s="45"/>
      <c r="MZH50" s="45"/>
      <c r="MZI50" s="45"/>
      <c r="MZJ50" s="45"/>
      <c r="MZK50" s="45"/>
      <c r="MZL50" s="45"/>
      <c r="MZM50" s="45"/>
      <c r="MZN50" s="45"/>
      <c r="MZO50" s="45"/>
      <c r="MZP50" s="45"/>
      <c r="MZQ50" s="45"/>
      <c r="MZR50" s="45"/>
      <c r="MZS50" s="45"/>
      <c r="MZT50" s="45"/>
      <c r="MZU50" s="45"/>
      <c r="MZV50" s="45"/>
      <c r="MZW50" s="45"/>
      <c r="MZX50" s="45"/>
      <c r="MZY50" s="45"/>
      <c r="MZZ50" s="45"/>
      <c r="NAA50" s="45"/>
      <c r="NAB50" s="45"/>
      <c r="NAC50" s="45"/>
      <c r="NAD50" s="45"/>
      <c r="NAE50" s="45"/>
      <c r="NAF50" s="45"/>
      <c r="NAG50" s="45"/>
      <c r="NAH50" s="45"/>
      <c r="NAI50" s="45"/>
      <c r="NAJ50" s="45"/>
      <c r="NAK50" s="45"/>
      <c r="NAL50" s="45"/>
      <c r="NAM50" s="45"/>
      <c r="NAN50" s="45"/>
      <c r="NAO50" s="45"/>
      <c r="NAP50" s="45"/>
      <c r="NAQ50" s="45"/>
      <c r="NAR50" s="45"/>
      <c r="NAS50" s="45"/>
      <c r="NAT50" s="45"/>
      <c r="NAU50" s="45"/>
      <c r="NAV50" s="45"/>
      <c r="NAW50" s="45"/>
      <c r="NAX50" s="45"/>
      <c r="NAY50" s="45"/>
      <c r="NAZ50" s="45"/>
      <c r="NBA50" s="45"/>
      <c r="NBB50" s="45"/>
      <c r="NBC50" s="45"/>
      <c r="NBD50" s="45"/>
      <c r="NBE50" s="45"/>
      <c r="NBF50" s="45"/>
      <c r="NBG50" s="45"/>
      <c r="NBH50" s="45"/>
      <c r="NBI50" s="45"/>
      <c r="NBJ50" s="45"/>
      <c r="NBK50" s="45"/>
      <c r="NBL50" s="45"/>
      <c r="NBM50" s="45"/>
      <c r="NBN50" s="45"/>
      <c r="NBO50" s="45"/>
      <c r="NBP50" s="45"/>
      <c r="NBQ50" s="45"/>
      <c r="NBR50" s="45"/>
      <c r="NBS50" s="45"/>
      <c r="NBT50" s="45"/>
      <c r="NBU50" s="45"/>
      <c r="NBV50" s="45"/>
      <c r="NBW50" s="45"/>
      <c r="NBX50" s="45"/>
      <c r="NBY50" s="45"/>
      <c r="NBZ50" s="45"/>
      <c r="NCA50" s="45"/>
      <c r="NCB50" s="45"/>
      <c r="NCC50" s="45"/>
      <c r="NCD50" s="45"/>
      <c r="NCE50" s="45"/>
      <c r="NCF50" s="45"/>
      <c r="NCG50" s="45"/>
      <c r="NCH50" s="45"/>
      <c r="NCI50" s="45"/>
      <c r="NCJ50" s="45"/>
      <c r="NCK50" s="45"/>
      <c r="NCL50" s="45"/>
      <c r="NCM50" s="45"/>
      <c r="NCN50" s="45"/>
      <c r="NCO50" s="45"/>
      <c r="NCP50" s="45"/>
      <c r="NCQ50" s="45"/>
      <c r="NCR50" s="45"/>
      <c r="NCS50" s="45"/>
      <c r="NCT50" s="45"/>
      <c r="NCU50" s="45"/>
      <c r="NCV50" s="45"/>
      <c r="NCW50" s="45"/>
      <c r="NCX50" s="45"/>
      <c r="NCY50" s="45"/>
      <c r="NCZ50" s="45"/>
      <c r="NDA50" s="45"/>
      <c r="NDB50" s="45"/>
      <c r="NDC50" s="45"/>
      <c r="NDD50" s="45"/>
      <c r="NDE50" s="45"/>
      <c r="NDF50" s="45"/>
      <c r="NDG50" s="45"/>
      <c r="NDH50" s="45"/>
      <c r="NDI50" s="45"/>
      <c r="NDJ50" s="45"/>
      <c r="NDK50" s="45"/>
      <c r="NDL50" s="45"/>
      <c r="NDM50" s="45"/>
      <c r="NDN50" s="45"/>
      <c r="NDO50" s="45"/>
      <c r="NDP50" s="45"/>
      <c r="NDQ50" s="45"/>
      <c r="NDR50" s="45"/>
      <c r="NDS50" s="45"/>
      <c r="NDT50" s="45"/>
      <c r="NDU50" s="45"/>
      <c r="NDV50" s="45"/>
      <c r="NDW50" s="45"/>
      <c r="NDX50" s="45"/>
      <c r="NDY50" s="45"/>
      <c r="NDZ50" s="45"/>
      <c r="NEA50" s="45"/>
      <c r="NEB50" s="45"/>
      <c r="NEC50" s="45"/>
      <c r="NED50" s="45"/>
      <c r="NEE50" s="45"/>
      <c r="NEF50" s="45"/>
      <c r="NEG50" s="45"/>
      <c r="NEV50" s="45"/>
      <c r="NEW50" s="45"/>
      <c r="NEX50" s="45"/>
      <c r="NEY50" s="45"/>
      <c r="NEZ50" s="45"/>
      <c r="NFA50" s="45"/>
      <c r="NFB50" s="45"/>
      <c r="NFC50" s="45"/>
      <c r="NFD50" s="45"/>
      <c r="NFE50" s="45"/>
      <c r="NFF50" s="45"/>
      <c r="NFG50" s="45"/>
      <c r="NFH50" s="45"/>
      <c r="NFI50" s="45"/>
      <c r="NFJ50" s="45"/>
      <c r="NFK50" s="45"/>
      <c r="NFL50" s="45"/>
      <c r="NFM50" s="45"/>
      <c r="NFN50" s="45"/>
      <c r="NFO50" s="45"/>
      <c r="NFP50" s="45"/>
      <c r="NFQ50" s="45"/>
      <c r="NFR50" s="45"/>
      <c r="NFS50" s="45"/>
      <c r="NFT50" s="45"/>
      <c r="NFU50" s="45"/>
      <c r="NFV50" s="45"/>
      <c r="NFW50" s="45"/>
      <c r="NFX50" s="45"/>
      <c r="NFY50" s="45"/>
      <c r="NFZ50" s="45"/>
      <c r="NGA50" s="45"/>
      <c r="NGB50" s="45"/>
      <c r="NGC50" s="45"/>
      <c r="NGD50" s="45"/>
      <c r="NGE50" s="45"/>
      <c r="NGF50" s="45"/>
      <c r="NGG50" s="45"/>
      <c r="NGH50" s="45"/>
      <c r="NGI50" s="45"/>
      <c r="NGJ50" s="45"/>
      <c r="NGK50" s="45"/>
      <c r="NGL50" s="45"/>
      <c r="NGM50" s="45"/>
      <c r="NGN50" s="45"/>
      <c r="NGO50" s="45"/>
      <c r="NGP50" s="45"/>
      <c r="NGQ50" s="45"/>
      <c r="NGR50" s="45"/>
      <c r="NGS50" s="45"/>
      <c r="NGT50" s="45"/>
      <c r="NGU50" s="45"/>
      <c r="NGV50" s="45"/>
      <c r="NGW50" s="45"/>
      <c r="NGX50" s="45"/>
      <c r="NGY50" s="45"/>
      <c r="NGZ50" s="45"/>
      <c r="NHA50" s="45"/>
      <c r="NHB50" s="45"/>
      <c r="NHC50" s="45"/>
      <c r="NHD50" s="45"/>
      <c r="NHE50" s="45"/>
      <c r="NHF50" s="45"/>
      <c r="NHG50" s="45"/>
      <c r="NHH50" s="45"/>
      <c r="NHI50" s="45"/>
      <c r="NHJ50" s="45"/>
      <c r="NHK50" s="45"/>
      <c r="NHL50" s="45"/>
      <c r="NHM50" s="45"/>
      <c r="NHN50" s="45"/>
      <c r="NHO50" s="45"/>
      <c r="NHP50" s="45"/>
      <c r="NHQ50" s="45"/>
      <c r="NHR50" s="45"/>
      <c r="NHS50" s="45"/>
      <c r="NHT50" s="45"/>
      <c r="NHU50" s="45"/>
      <c r="NHV50" s="45"/>
      <c r="NHW50" s="45"/>
      <c r="NHX50" s="45"/>
      <c r="NHY50" s="45"/>
      <c r="NHZ50" s="45"/>
      <c r="NIA50" s="45"/>
      <c r="NIB50" s="45"/>
      <c r="NIC50" s="45"/>
      <c r="NID50" s="45"/>
      <c r="NIE50" s="45"/>
      <c r="NIF50" s="45"/>
      <c r="NIG50" s="45"/>
      <c r="NIH50" s="45"/>
      <c r="NII50" s="45"/>
      <c r="NIJ50" s="45"/>
      <c r="NIK50" s="45"/>
      <c r="NIL50" s="45"/>
      <c r="NIM50" s="45"/>
      <c r="NIN50" s="45"/>
      <c r="NIO50" s="45"/>
      <c r="NIP50" s="45"/>
      <c r="NIQ50" s="45"/>
      <c r="NIR50" s="45"/>
      <c r="NIS50" s="45"/>
      <c r="NIT50" s="45"/>
      <c r="NIU50" s="45"/>
      <c r="NIV50" s="45"/>
      <c r="NIW50" s="45"/>
      <c r="NIX50" s="45"/>
      <c r="NIY50" s="45"/>
      <c r="NIZ50" s="45"/>
      <c r="NJA50" s="45"/>
      <c r="NJB50" s="45"/>
      <c r="NJC50" s="45"/>
      <c r="NJD50" s="45"/>
      <c r="NJE50" s="45"/>
      <c r="NJF50" s="45"/>
      <c r="NJG50" s="45"/>
      <c r="NJH50" s="45"/>
      <c r="NJI50" s="45"/>
      <c r="NJJ50" s="45"/>
      <c r="NJK50" s="45"/>
      <c r="NJL50" s="45"/>
      <c r="NJM50" s="45"/>
      <c r="NJN50" s="45"/>
      <c r="NJO50" s="45"/>
      <c r="NJP50" s="45"/>
      <c r="NJQ50" s="45"/>
      <c r="NJR50" s="45"/>
      <c r="NJS50" s="45"/>
      <c r="NJT50" s="45"/>
      <c r="NJU50" s="45"/>
      <c r="NJV50" s="45"/>
      <c r="NJW50" s="45"/>
      <c r="NJX50" s="45"/>
      <c r="NJY50" s="45"/>
      <c r="NJZ50" s="45"/>
      <c r="NKA50" s="45"/>
      <c r="NKB50" s="45"/>
      <c r="NKC50" s="45"/>
      <c r="NKD50" s="45"/>
      <c r="NKE50" s="45"/>
      <c r="NKF50" s="45"/>
      <c r="NKG50" s="45"/>
      <c r="NKH50" s="45"/>
      <c r="NKI50" s="45"/>
      <c r="NKJ50" s="45"/>
      <c r="NKK50" s="45"/>
      <c r="NKL50" s="45"/>
      <c r="NKM50" s="45"/>
      <c r="NKN50" s="45"/>
      <c r="NKO50" s="45"/>
      <c r="NKP50" s="45"/>
      <c r="NKQ50" s="45"/>
      <c r="NKR50" s="45"/>
      <c r="NKS50" s="45"/>
      <c r="NKT50" s="45"/>
      <c r="NKU50" s="45"/>
      <c r="NKV50" s="45"/>
      <c r="NKW50" s="45"/>
      <c r="NKX50" s="45"/>
      <c r="NKY50" s="45"/>
      <c r="NKZ50" s="45"/>
      <c r="NLA50" s="45"/>
      <c r="NLB50" s="45"/>
      <c r="NLC50" s="45"/>
      <c r="NLD50" s="45"/>
      <c r="NLE50" s="45"/>
      <c r="NLF50" s="45"/>
      <c r="NLG50" s="45"/>
      <c r="NLH50" s="45"/>
      <c r="NLI50" s="45"/>
      <c r="NLJ50" s="45"/>
      <c r="NLK50" s="45"/>
      <c r="NLL50" s="45"/>
      <c r="NLM50" s="45"/>
      <c r="NLN50" s="45"/>
      <c r="NLO50" s="45"/>
      <c r="NLP50" s="45"/>
      <c r="NLQ50" s="45"/>
      <c r="NLR50" s="45"/>
      <c r="NLS50" s="45"/>
      <c r="NLT50" s="45"/>
      <c r="NLU50" s="45"/>
      <c r="NLV50" s="45"/>
      <c r="NLW50" s="45"/>
      <c r="NLX50" s="45"/>
      <c r="NLY50" s="45"/>
      <c r="NLZ50" s="45"/>
      <c r="NMA50" s="45"/>
      <c r="NMB50" s="45"/>
      <c r="NMC50" s="45"/>
      <c r="NMD50" s="45"/>
      <c r="NME50" s="45"/>
      <c r="NMF50" s="45"/>
      <c r="NMG50" s="45"/>
      <c r="NMH50" s="45"/>
      <c r="NMI50" s="45"/>
      <c r="NMJ50" s="45"/>
      <c r="NMK50" s="45"/>
      <c r="NML50" s="45"/>
      <c r="NMM50" s="45"/>
      <c r="NMN50" s="45"/>
      <c r="NMO50" s="45"/>
      <c r="NMP50" s="45"/>
      <c r="NMQ50" s="45"/>
      <c r="NMR50" s="45"/>
      <c r="NMS50" s="45"/>
      <c r="NMT50" s="45"/>
      <c r="NMU50" s="45"/>
      <c r="NMV50" s="45"/>
      <c r="NMW50" s="45"/>
      <c r="NMX50" s="45"/>
      <c r="NMY50" s="45"/>
      <c r="NMZ50" s="45"/>
      <c r="NNA50" s="45"/>
      <c r="NNB50" s="45"/>
      <c r="NNC50" s="45"/>
      <c r="NND50" s="45"/>
      <c r="NNE50" s="45"/>
      <c r="NNF50" s="45"/>
      <c r="NNG50" s="45"/>
      <c r="NNH50" s="45"/>
      <c r="NNI50" s="45"/>
      <c r="NNJ50" s="45"/>
      <c r="NNK50" s="45"/>
      <c r="NNL50" s="45"/>
      <c r="NNM50" s="45"/>
      <c r="NNN50" s="45"/>
      <c r="NNO50" s="45"/>
      <c r="NNP50" s="45"/>
      <c r="NNQ50" s="45"/>
      <c r="NNR50" s="45"/>
      <c r="NNS50" s="45"/>
      <c r="NNT50" s="45"/>
      <c r="NNU50" s="45"/>
      <c r="NNV50" s="45"/>
      <c r="NNW50" s="45"/>
      <c r="NNX50" s="45"/>
      <c r="NNY50" s="45"/>
      <c r="NNZ50" s="45"/>
      <c r="NOA50" s="45"/>
      <c r="NOB50" s="45"/>
      <c r="NOC50" s="45"/>
      <c r="NOD50" s="45"/>
      <c r="NOE50" s="45"/>
      <c r="NOF50" s="45"/>
      <c r="NOG50" s="45"/>
      <c r="NOH50" s="45"/>
      <c r="NOI50" s="45"/>
      <c r="NOJ50" s="45"/>
      <c r="NOK50" s="45"/>
      <c r="NOL50" s="45"/>
      <c r="NOM50" s="45"/>
      <c r="NON50" s="45"/>
      <c r="NOO50" s="45"/>
      <c r="NOP50" s="45"/>
      <c r="NOQ50" s="45"/>
      <c r="NOR50" s="45"/>
      <c r="NOS50" s="45"/>
      <c r="NOT50" s="45"/>
      <c r="NOU50" s="45"/>
      <c r="NOV50" s="45"/>
      <c r="NOW50" s="45"/>
      <c r="NOX50" s="45"/>
      <c r="NOY50" s="45"/>
      <c r="NOZ50" s="45"/>
      <c r="NPA50" s="45"/>
      <c r="NPB50" s="45"/>
      <c r="NPC50" s="45"/>
      <c r="NPD50" s="45"/>
      <c r="NPE50" s="45"/>
      <c r="NPF50" s="45"/>
      <c r="NPG50" s="45"/>
      <c r="NPH50" s="45"/>
      <c r="NPI50" s="45"/>
      <c r="NPJ50" s="45"/>
      <c r="NPK50" s="45"/>
      <c r="NPL50" s="45"/>
      <c r="NPM50" s="45"/>
      <c r="NPN50" s="45"/>
      <c r="NPO50" s="45"/>
      <c r="NPP50" s="45"/>
      <c r="NPQ50" s="45"/>
      <c r="NPR50" s="45"/>
      <c r="NPS50" s="45"/>
      <c r="NPT50" s="45"/>
      <c r="NPU50" s="45"/>
      <c r="NPV50" s="45"/>
      <c r="NPW50" s="45"/>
      <c r="NPX50" s="45"/>
      <c r="NPY50" s="45"/>
      <c r="NPZ50" s="45"/>
      <c r="NQA50" s="45"/>
      <c r="NQB50" s="45"/>
      <c r="NQC50" s="45"/>
      <c r="NQD50" s="45"/>
      <c r="NQE50" s="45"/>
      <c r="NQF50" s="45"/>
      <c r="NQG50" s="45"/>
      <c r="NQH50" s="45"/>
      <c r="NQI50" s="45"/>
      <c r="NQJ50" s="45"/>
      <c r="NQK50" s="45"/>
      <c r="NQL50" s="45"/>
      <c r="NQM50" s="45"/>
      <c r="NQN50" s="45"/>
      <c r="NQO50" s="45"/>
      <c r="NQP50" s="45"/>
      <c r="NQQ50" s="45"/>
      <c r="NQR50" s="45"/>
      <c r="NQS50" s="45"/>
      <c r="NQT50" s="45"/>
      <c r="NQU50" s="45"/>
      <c r="NQV50" s="45"/>
      <c r="NQW50" s="45"/>
      <c r="NQX50" s="45"/>
      <c r="NQY50" s="45"/>
      <c r="NQZ50" s="45"/>
      <c r="NRA50" s="45"/>
      <c r="NRB50" s="45"/>
      <c r="NRC50" s="45"/>
      <c r="NRD50" s="45"/>
      <c r="NRE50" s="45"/>
      <c r="NRF50" s="45"/>
      <c r="NRG50" s="45"/>
      <c r="NRH50" s="45"/>
      <c r="NRI50" s="45"/>
      <c r="NRJ50" s="45"/>
      <c r="NRK50" s="45"/>
      <c r="NRL50" s="45"/>
      <c r="NRM50" s="45"/>
      <c r="NRN50" s="45"/>
      <c r="NRO50" s="45"/>
      <c r="NRP50" s="45"/>
      <c r="NRQ50" s="45"/>
      <c r="NRR50" s="45"/>
      <c r="NRS50" s="45"/>
      <c r="NRT50" s="45"/>
      <c r="NRU50" s="45"/>
      <c r="NRV50" s="45"/>
      <c r="NRW50" s="45"/>
      <c r="NRX50" s="45"/>
      <c r="NRY50" s="45"/>
      <c r="NRZ50" s="45"/>
      <c r="NSA50" s="45"/>
      <c r="NSB50" s="45"/>
      <c r="NSC50" s="45"/>
      <c r="NSD50" s="45"/>
      <c r="NSE50" s="45"/>
      <c r="NSF50" s="45"/>
      <c r="NSG50" s="45"/>
      <c r="NSH50" s="45"/>
      <c r="NSI50" s="45"/>
      <c r="NSJ50" s="45"/>
      <c r="NSK50" s="45"/>
      <c r="NSL50" s="45"/>
      <c r="NSM50" s="45"/>
      <c r="NSN50" s="45"/>
      <c r="NSO50" s="45"/>
      <c r="NSP50" s="45"/>
      <c r="NSQ50" s="45"/>
      <c r="NSR50" s="45"/>
      <c r="NSS50" s="45"/>
      <c r="NST50" s="45"/>
      <c r="NSU50" s="45"/>
      <c r="NSV50" s="45"/>
      <c r="NSW50" s="45"/>
      <c r="NSX50" s="45"/>
      <c r="NSY50" s="45"/>
      <c r="NSZ50" s="45"/>
      <c r="NTA50" s="45"/>
      <c r="NTB50" s="45"/>
      <c r="NTC50" s="45"/>
      <c r="NTD50" s="45"/>
      <c r="NTE50" s="45"/>
      <c r="NTF50" s="45"/>
      <c r="NTG50" s="45"/>
      <c r="NTH50" s="45"/>
      <c r="NTI50" s="45"/>
      <c r="NTJ50" s="45"/>
      <c r="NTK50" s="45"/>
      <c r="NTL50" s="45"/>
      <c r="NTM50" s="45"/>
      <c r="NTN50" s="45"/>
      <c r="NTO50" s="45"/>
      <c r="NTP50" s="45"/>
      <c r="NTQ50" s="45"/>
      <c r="NTR50" s="45"/>
      <c r="NTS50" s="45"/>
      <c r="NTT50" s="45"/>
      <c r="NTU50" s="45"/>
      <c r="NTV50" s="45"/>
      <c r="NTW50" s="45"/>
      <c r="NTX50" s="45"/>
      <c r="NTY50" s="45"/>
      <c r="NTZ50" s="45"/>
      <c r="NUA50" s="45"/>
      <c r="NUB50" s="45"/>
      <c r="NUC50" s="45"/>
      <c r="NUD50" s="45"/>
      <c r="NUE50" s="45"/>
      <c r="NUF50" s="45"/>
      <c r="NUG50" s="45"/>
      <c r="NUH50" s="45"/>
      <c r="NUI50" s="45"/>
      <c r="NUJ50" s="45"/>
      <c r="NUK50" s="45"/>
      <c r="NUL50" s="45"/>
      <c r="NUM50" s="45"/>
      <c r="NUN50" s="45"/>
      <c r="NUO50" s="45"/>
      <c r="NUP50" s="45"/>
      <c r="NUQ50" s="45"/>
      <c r="NUR50" s="45"/>
      <c r="NUS50" s="45"/>
      <c r="NUT50" s="45"/>
      <c r="NUU50" s="45"/>
      <c r="NUV50" s="45"/>
      <c r="NUW50" s="45"/>
      <c r="NUX50" s="45"/>
      <c r="NUY50" s="45"/>
      <c r="NUZ50" s="45"/>
      <c r="NVA50" s="45"/>
      <c r="NVB50" s="45"/>
      <c r="NVC50" s="45"/>
      <c r="NVD50" s="45"/>
      <c r="NVE50" s="45"/>
      <c r="NVF50" s="45"/>
      <c r="NVG50" s="45"/>
      <c r="NVH50" s="45"/>
      <c r="NVI50" s="45"/>
      <c r="NVJ50" s="45"/>
      <c r="NVK50" s="45"/>
      <c r="NVL50" s="45"/>
      <c r="NVM50" s="45"/>
      <c r="NVN50" s="45"/>
      <c r="NVO50" s="45"/>
      <c r="NVP50" s="45"/>
      <c r="NVQ50" s="45"/>
      <c r="NVR50" s="45"/>
      <c r="NVS50" s="45"/>
      <c r="NVT50" s="45"/>
      <c r="NVU50" s="45"/>
      <c r="NVV50" s="45"/>
      <c r="NVW50" s="45"/>
      <c r="NVX50" s="45"/>
      <c r="NVY50" s="45"/>
      <c r="NVZ50" s="45"/>
      <c r="NWA50" s="45"/>
      <c r="NWB50" s="45"/>
      <c r="NWC50" s="45"/>
      <c r="NWD50" s="45"/>
      <c r="NWE50" s="45"/>
      <c r="NWF50" s="45"/>
      <c r="NWG50" s="45"/>
      <c r="NWH50" s="45"/>
      <c r="NWI50" s="45"/>
      <c r="NWJ50" s="45"/>
      <c r="NWK50" s="45"/>
      <c r="NWL50" s="45"/>
      <c r="NWM50" s="45"/>
      <c r="NWN50" s="45"/>
      <c r="NWO50" s="45"/>
      <c r="NWP50" s="45"/>
      <c r="NWQ50" s="45"/>
      <c r="NWR50" s="45"/>
      <c r="NWS50" s="45"/>
      <c r="NWT50" s="45"/>
      <c r="NWU50" s="45"/>
      <c r="NWV50" s="45"/>
      <c r="NWW50" s="45"/>
      <c r="NWX50" s="45"/>
      <c r="NWY50" s="45"/>
      <c r="NWZ50" s="45"/>
      <c r="NXA50" s="45"/>
      <c r="NXB50" s="45"/>
      <c r="NXC50" s="45"/>
      <c r="NXD50" s="45"/>
      <c r="NXE50" s="45"/>
      <c r="NXF50" s="45"/>
      <c r="NXG50" s="45"/>
      <c r="NXH50" s="45"/>
      <c r="NXI50" s="45"/>
      <c r="NXJ50" s="45"/>
      <c r="NXK50" s="45"/>
      <c r="NXL50" s="45"/>
      <c r="NXM50" s="45"/>
      <c r="NXN50" s="45"/>
      <c r="NXO50" s="45"/>
      <c r="NXP50" s="45"/>
      <c r="NXQ50" s="45"/>
      <c r="NXR50" s="45"/>
      <c r="NXS50" s="45"/>
      <c r="NXT50" s="45"/>
      <c r="NXU50" s="45"/>
      <c r="NXV50" s="45"/>
      <c r="NXW50" s="45"/>
      <c r="NXX50" s="45"/>
      <c r="NXY50" s="45"/>
      <c r="NXZ50" s="45"/>
      <c r="NYA50" s="45"/>
      <c r="NYB50" s="45"/>
      <c r="NYC50" s="45"/>
      <c r="NYD50" s="45"/>
      <c r="NYE50" s="45"/>
      <c r="NYF50" s="45"/>
      <c r="NYG50" s="45"/>
      <c r="NYH50" s="45"/>
      <c r="NYI50" s="45"/>
      <c r="NYJ50" s="45"/>
      <c r="NYK50" s="45"/>
      <c r="NYL50" s="45"/>
      <c r="NYM50" s="45"/>
      <c r="NYN50" s="45"/>
      <c r="NYO50" s="45"/>
      <c r="NYP50" s="45"/>
      <c r="NYQ50" s="45"/>
      <c r="NYR50" s="45"/>
      <c r="NYS50" s="45"/>
      <c r="NYT50" s="45"/>
      <c r="NYU50" s="45"/>
      <c r="NYV50" s="45"/>
      <c r="NYW50" s="45"/>
      <c r="NYX50" s="45"/>
      <c r="NYY50" s="45"/>
      <c r="NYZ50" s="45"/>
      <c r="NZA50" s="45"/>
      <c r="NZB50" s="45"/>
      <c r="NZC50" s="45"/>
      <c r="NZD50" s="45"/>
      <c r="NZE50" s="45"/>
      <c r="NZF50" s="45"/>
      <c r="NZG50" s="45"/>
      <c r="NZH50" s="45"/>
      <c r="NZI50" s="45"/>
      <c r="NZJ50" s="45"/>
      <c r="NZK50" s="45"/>
      <c r="NZL50" s="45"/>
      <c r="NZM50" s="45"/>
      <c r="NZN50" s="45"/>
      <c r="NZO50" s="45"/>
      <c r="NZP50" s="45"/>
      <c r="NZQ50" s="45"/>
      <c r="NZR50" s="45"/>
      <c r="NZS50" s="45"/>
      <c r="NZT50" s="45"/>
      <c r="NZU50" s="45"/>
      <c r="NZV50" s="45"/>
      <c r="NZW50" s="45"/>
      <c r="NZX50" s="45"/>
      <c r="NZY50" s="45"/>
      <c r="NZZ50" s="45"/>
      <c r="OAA50" s="45"/>
      <c r="OAB50" s="45"/>
      <c r="OAC50" s="45"/>
      <c r="OAD50" s="45"/>
      <c r="OAE50" s="45"/>
      <c r="OAF50" s="45"/>
      <c r="OAG50" s="45"/>
      <c r="OAH50" s="45"/>
      <c r="OAI50" s="45"/>
      <c r="OAJ50" s="45"/>
      <c r="OAK50" s="45"/>
      <c r="OAL50" s="45"/>
      <c r="OAM50" s="45"/>
      <c r="OAN50" s="45"/>
      <c r="OAO50" s="45"/>
      <c r="OAP50" s="45"/>
      <c r="OAQ50" s="45"/>
      <c r="OAR50" s="45"/>
      <c r="OAS50" s="45"/>
      <c r="OAT50" s="45"/>
      <c r="OAU50" s="45"/>
      <c r="OAV50" s="45"/>
      <c r="OAW50" s="45"/>
      <c r="OAX50" s="45"/>
      <c r="OAY50" s="45"/>
      <c r="OAZ50" s="45"/>
      <c r="OBA50" s="45"/>
      <c r="OBB50" s="45"/>
      <c r="OBC50" s="45"/>
      <c r="OBD50" s="45"/>
      <c r="OBE50" s="45"/>
      <c r="OBF50" s="45"/>
      <c r="OBG50" s="45"/>
      <c r="OBH50" s="45"/>
      <c r="OBI50" s="45"/>
      <c r="OBJ50" s="45"/>
      <c r="OBK50" s="45"/>
      <c r="OBL50" s="45"/>
      <c r="OBM50" s="45"/>
      <c r="OBN50" s="45"/>
      <c r="OBO50" s="45"/>
      <c r="OBP50" s="45"/>
      <c r="OBQ50" s="45"/>
      <c r="OBR50" s="45"/>
      <c r="OBS50" s="45"/>
      <c r="OBT50" s="45"/>
      <c r="OBU50" s="45"/>
      <c r="OBV50" s="45"/>
      <c r="OBW50" s="45"/>
      <c r="OBX50" s="45"/>
      <c r="OBY50" s="45"/>
      <c r="OBZ50" s="45"/>
      <c r="OCA50" s="45"/>
      <c r="OCB50" s="45"/>
      <c r="OCC50" s="45"/>
      <c r="OCD50" s="45"/>
      <c r="OCE50" s="45"/>
      <c r="OCF50" s="45"/>
      <c r="OCG50" s="45"/>
      <c r="OCH50" s="45"/>
      <c r="OCI50" s="45"/>
      <c r="OCJ50" s="45"/>
      <c r="OCK50" s="45"/>
      <c r="OCL50" s="45"/>
      <c r="OCM50" s="45"/>
      <c r="OCN50" s="45"/>
      <c r="OCO50" s="45"/>
      <c r="OCP50" s="45"/>
      <c r="OCQ50" s="45"/>
      <c r="OCR50" s="45"/>
      <c r="OCS50" s="45"/>
      <c r="OCT50" s="45"/>
      <c r="OCU50" s="45"/>
      <c r="OCV50" s="45"/>
      <c r="OCW50" s="45"/>
      <c r="OCX50" s="45"/>
      <c r="OCY50" s="45"/>
      <c r="OCZ50" s="45"/>
      <c r="ODA50" s="45"/>
      <c r="ODB50" s="45"/>
      <c r="ODC50" s="45"/>
      <c r="ODD50" s="45"/>
      <c r="ODE50" s="45"/>
      <c r="ODF50" s="45"/>
      <c r="ODG50" s="45"/>
      <c r="ODH50" s="45"/>
      <c r="ODI50" s="45"/>
      <c r="ODJ50" s="45"/>
      <c r="ODK50" s="45"/>
      <c r="ODL50" s="45"/>
      <c r="ODM50" s="45"/>
      <c r="ODN50" s="45"/>
      <c r="ODO50" s="45"/>
      <c r="ODP50" s="45"/>
      <c r="ODQ50" s="45"/>
      <c r="ODR50" s="45"/>
      <c r="ODS50" s="45"/>
      <c r="ODT50" s="45"/>
      <c r="ODU50" s="45"/>
      <c r="ODV50" s="45"/>
      <c r="ODW50" s="45"/>
      <c r="ODX50" s="45"/>
      <c r="ODY50" s="45"/>
      <c r="ODZ50" s="45"/>
      <c r="OEA50" s="45"/>
      <c r="OEB50" s="45"/>
      <c r="OEC50" s="45"/>
      <c r="OED50" s="45"/>
      <c r="OEE50" s="45"/>
      <c r="OEF50" s="45"/>
      <c r="OEG50" s="45"/>
      <c r="OEH50" s="45"/>
      <c r="OEI50" s="45"/>
      <c r="OEJ50" s="45"/>
      <c r="OEK50" s="45"/>
      <c r="OEL50" s="45"/>
      <c r="OEM50" s="45"/>
      <c r="OEN50" s="45"/>
      <c r="OEO50" s="45"/>
      <c r="OEP50" s="45"/>
      <c r="OEQ50" s="45"/>
      <c r="OER50" s="45"/>
      <c r="OES50" s="45"/>
      <c r="OET50" s="45"/>
      <c r="OEU50" s="45"/>
      <c r="OEV50" s="45"/>
      <c r="OEW50" s="45"/>
      <c r="OEX50" s="45"/>
      <c r="OEY50" s="45"/>
      <c r="OEZ50" s="45"/>
      <c r="OFA50" s="45"/>
      <c r="OFB50" s="45"/>
      <c r="OFC50" s="45"/>
      <c r="OFD50" s="45"/>
      <c r="OFE50" s="45"/>
      <c r="OFF50" s="45"/>
      <c r="OFG50" s="45"/>
      <c r="OFH50" s="45"/>
      <c r="OFI50" s="45"/>
      <c r="OFJ50" s="45"/>
      <c r="OFK50" s="45"/>
      <c r="OFL50" s="45"/>
      <c r="OFM50" s="45"/>
      <c r="OFN50" s="45"/>
      <c r="OFO50" s="45"/>
      <c r="OFP50" s="45"/>
      <c r="OFQ50" s="45"/>
      <c r="OFR50" s="45"/>
      <c r="OFS50" s="45"/>
      <c r="OFT50" s="45"/>
      <c r="OFU50" s="45"/>
      <c r="OFV50" s="45"/>
      <c r="OFW50" s="45"/>
      <c r="OFX50" s="45"/>
      <c r="OFY50" s="45"/>
      <c r="OFZ50" s="45"/>
      <c r="OGA50" s="45"/>
      <c r="OGB50" s="45"/>
      <c r="OGC50" s="45"/>
      <c r="OGD50" s="45"/>
      <c r="OGE50" s="45"/>
      <c r="OGF50" s="45"/>
      <c r="OGG50" s="45"/>
      <c r="OGH50" s="45"/>
      <c r="OGI50" s="45"/>
      <c r="OGJ50" s="45"/>
      <c r="OGK50" s="45"/>
      <c r="OGL50" s="45"/>
      <c r="OGM50" s="45"/>
      <c r="OGN50" s="45"/>
      <c r="OGO50" s="45"/>
      <c r="OGP50" s="45"/>
      <c r="OGQ50" s="45"/>
      <c r="OGR50" s="45"/>
      <c r="OGS50" s="45"/>
      <c r="OGT50" s="45"/>
      <c r="OGU50" s="45"/>
      <c r="OGV50" s="45"/>
      <c r="OGW50" s="45"/>
      <c r="OGX50" s="45"/>
      <c r="OGY50" s="45"/>
      <c r="OGZ50" s="45"/>
      <c r="OHA50" s="45"/>
      <c r="OHB50" s="45"/>
      <c r="OHC50" s="45"/>
      <c r="OHD50" s="45"/>
      <c r="OHE50" s="45"/>
      <c r="OHF50" s="45"/>
      <c r="OHG50" s="45"/>
      <c r="OHH50" s="45"/>
      <c r="OHI50" s="45"/>
      <c r="OHJ50" s="45"/>
      <c r="OHK50" s="45"/>
      <c r="OHL50" s="45"/>
      <c r="OHM50" s="45"/>
      <c r="OHN50" s="45"/>
      <c r="OHO50" s="45"/>
      <c r="OHP50" s="45"/>
      <c r="OHQ50" s="45"/>
      <c r="OHR50" s="45"/>
      <c r="OHS50" s="45"/>
      <c r="OHT50" s="45"/>
      <c r="OHU50" s="45"/>
      <c r="OHV50" s="45"/>
      <c r="OHW50" s="45"/>
      <c r="OHX50" s="45"/>
      <c r="OHY50" s="45"/>
      <c r="OHZ50" s="45"/>
      <c r="OIA50" s="45"/>
      <c r="OIB50" s="45"/>
      <c r="OIC50" s="45"/>
      <c r="OID50" s="45"/>
      <c r="OIE50" s="45"/>
      <c r="OIF50" s="45"/>
      <c r="OIG50" s="45"/>
      <c r="OIH50" s="45"/>
      <c r="OII50" s="45"/>
      <c r="OIJ50" s="45"/>
      <c r="OIK50" s="45"/>
      <c r="OIL50" s="45"/>
      <c r="OIM50" s="45"/>
      <c r="OIN50" s="45"/>
      <c r="OIO50" s="45"/>
      <c r="OIP50" s="45"/>
      <c r="OIQ50" s="45"/>
      <c r="OIR50" s="45"/>
      <c r="OIS50" s="45"/>
      <c r="OIT50" s="45"/>
      <c r="OIU50" s="45"/>
      <c r="OIV50" s="45"/>
      <c r="OIW50" s="45"/>
      <c r="OIX50" s="45"/>
      <c r="OIY50" s="45"/>
      <c r="OIZ50" s="45"/>
      <c r="OJA50" s="45"/>
      <c r="OJB50" s="45"/>
      <c r="OJC50" s="45"/>
      <c r="OJD50" s="45"/>
      <c r="OJE50" s="45"/>
      <c r="OJF50" s="45"/>
      <c r="OJG50" s="45"/>
      <c r="OJH50" s="45"/>
      <c r="OJI50" s="45"/>
      <c r="OJJ50" s="45"/>
      <c r="OJK50" s="45"/>
      <c r="OJL50" s="45"/>
      <c r="OJM50" s="45"/>
      <c r="OJN50" s="45"/>
      <c r="OJO50" s="45"/>
      <c r="OJP50" s="45"/>
      <c r="OJQ50" s="45"/>
      <c r="OJR50" s="45"/>
      <c r="OJS50" s="45"/>
      <c r="OJT50" s="45"/>
      <c r="OJU50" s="45"/>
      <c r="OJV50" s="45"/>
      <c r="OJW50" s="45"/>
      <c r="OJX50" s="45"/>
      <c r="OJY50" s="45"/>
      <c r="OJZ50" s="45"/>
      <c r="OKA50" s="45"/>
      <c r="OKB50" s="45"/>
      <c r="OKC50" s="45"/>
      <c r="OKD50" s="45"/>
      <c r="OKE50" s="45"/>
      <c r="OKF50" s="45"/>
      <c r="OKG50" s="45"/>
      <c r="OKH50" s="45"/>
      <c r="OKI50" s="45"/>
      <c r="OKJ50" s="45"/>
      <c r="OKK50" s="45"/>
      <c r="OKL50" s="45"/>
      <c r="OKM50" s="45"/>
      <c r="OKN50" s="45"/>
      <c r="OKO50" s="45"/>
      <c r="OKP50" s="45"/>
      <c r="OKQ50" s="45"/>
      <c r="OKR50" s="45"/>
      <c r="OKS50" s="45"/>
      <c r="OKT50" s="45"/>
      <c r="OKU50" s="45"/>
      <c r="OKV50" s="45"/>
      <c r="OKW50" s="45"/>
      <c r="OKX50" s="45"/>
      <c r="OKY50" s="45"/>
      <c r="OKZ50" s="45"/>
      <c r="OLA50" s="45"/>
      <c r="OLB50" s="45"/>
      <c r="OLC50" s="45"/>
      <c r="OLD50" s="45"/>
      <c r="OLE50" s="45"/>
      <c r="OLF50" s="45"/>
      <c r="OLG50" s="45"/>
      <c r="OLH50" s="45"/>
      <c r="OLI50" s="45"/>
      <c r="OLJ50" s="45"/>
      <c r="OLK50" s="45"/>
      <c r="OLL50" s="45"/>
      <c r="OLM50" s="45"/>
      <c r="OLN50" s="45"/>
      <c r="OLO50" s="45"/>
      <c r="OLP50" s="45"/>
      <c r="OLQ50" s="45"/>
      <c r="OLR50" s="45"/>
      <c r="OLS50" s="45"/>
      <c r="OLT50" s="45"/>
      <c r="OLU50" s="45"/>
      <c r="OLV50" s="45"/>
      <c r="OLW50" s="45"/>
      <c r="OLX50" s="45"/>
      <c r="OLY50" s="45"/>
      <c r="OLZ50" s="45"/>
      <c r="OMA50" s="45"/>
      <c r="OMB50" s="45"/>
      <c r="OMC50" s="45"/>
      <c r="OMD50" s="45"/>
      <c r="OME50" s="45"/>
      <c r="OMF50" s="45"/>
      <c r="OMG50" s="45"/>
      <c r="OMH50" s="45"/>
      <c r="OMI50" s="45"/>
      <c r="OMJ50" s="45"/>
      <c r="OMK50" s="45"/>
      <c r="OML50" s="45"/>
      <c r="OMM50" s="45"/>
      <c r="OMN50" s="45"/>
      <c r="OMO50" s="45"/>
      <c r="OMP50" s="45"/>
      <c r="OMQ50" s="45"/>
      <c r="OMR50" s="45"/>
      <c r="OMS50" s="45"/>
      <c r="OMT50" s="45"/>
      <c r="OMU50" s="45"/>
      <c r="OMV50" s="45"/>
      <c r="OMW50" s="45"/>
      <c r="OMX50" s="45"/>
      <c r="OMY50" s="45"/>
      <c r="OMZ50" s="45"/>
      <c r="ONA50" s="45"/>
      <c r="ONB50" s="45"/>
      <c r="ONC50" s="45"/>
      <c r="OND50" s="45"/>
      <c r="ONE50" s="45"/>
      <c r="ONF50" s="45"/>
      <c r="ONG50" s="45"/>
      <c r="ONH50" s="45"/>
      <c r="ONI50" s="45"/>
      <c r="ONJ50" s="45"/>
      <c r="ONK50" s="45"/>
      <c r="ONL50" s="45"/>
      <c r="ONM50" s="45"/>
      <c r="ONN50" s="45"/>
      <c r="ONO50" s="45"/>
      <c r="ONP50" s="45"/>
      <c r="ONQ50" s="45"/>
      <c r="ONR50" s="45"/>
      <c r="ONS50" s="45"/>
      <c r="ONT50" s="45"/>
      <c r="ONU50" s="45"/>
      <c r="ONV50" s="45"/>
      <c r="ONW50" s="45"/>
      <c r="ONX50" s="45"/>
      <c r="ONY50" s="45"/>
      <c r="ONZ50" s="45"/>
      <c r="OOA50" s="45"/>
      <c r="OOB50" s="45"/>
      <c r="OOC50" s="45"/>
      <c r="OOD50" s="45"/>
      <c r="OOE50" s="45"/>
      <c r="OOF50" s="45"/>
      <c r="OOG50" s="45"/>
      <c r="OOH50" s="45"/>
      <c r="OOI50" s="45"/>
      <c r="OOJ50" s="45"/>
      <c r="OOK50" s="45"/>
      <c r="OOL50" s="45"/>
      <c r="OOM50" s="45"/>
      <c r="OON50" s="45"/>
      <c r="OOO50" s="45"/>
      <c r="OOP50" s="45"/>
      <c r="OOQ50" s="45"/>
      <c r="OOR50" s="45"/>
      <c r="OOS50" s="45"/>
      <c r="OOT50" s="45"/>
      <c r="OOU50" s="45"/>
      <c r="OOV50" s="45"/>
      <c r="OOW50" s="45"/>
      <c r="OOX50" s="45"/>
      <c r="OOY50" s="45"/>
      <c r="OOZ50" s="45"/>
      <c r="OPA50" s="45"/>
      <c r="OPB50" s="45"/>
      <c r="OPC50" s="45"/>
      <c r="OPD50" s="45"/>
      <c r="OPE50" s="45"/>
      <c r="OPF50" s="45"/>
      <c r="OPG50" s="45"/>
      <c r="OPH50" s="45"/>
      <c r="OPI50" s="45"/>
      <c r="OPJ50" s="45"/>
      <c r="OPK50" s="45"/>
      <c r="OPL50" s="45"/>
      <c r="OPM50" s="45"/>
      <c r="OPN50" s="45"/>
      <c r="OPO50" s="45"/>
      <c r="OPP50" s="45"/>
      <c r="OPQ50" s="45"/>
      <c r="OPR50" s="45"/>
      <c r="OPS50" s="45"/>
      <c r="OPT50" s="45"/>
      <c r="OPU50" s="45"/>
      <c r="OPV50" s="45"/>
      <c r="OPW50" s="45"/>
      <c r="OPX50" s="45"/>
      <c r="OPY50" s="45"/>
      <c r="OPZ50" s="45"/>
      <c r="OQA50" s="45"/>
      <c r="OQB50" s="45"/>
      <c r="OQC50" s="45"/>
      <c r="OQD50" s="45"/>
      <c r="OQE50" s="45"/>
      <c r="OQF50" s="45"/>
      <c r="OQG50" s="45"/>
      <c r="OQH50" s="45"/>
      <c r="OQI50" s="45"/>
      <c r="OQJ50" s="45"/>
      <c r="OQK50" s="45"/>
      <c r="OQL50" s="45"/>
      <c r="OQM50" s="45"/>
      <c r="OQN50" s="45"/>
      <c r="OQO50" s="45"/>
      <c r="OQP50" s="45"/>
      <c r="OQQ50" s="45"/>
      <c r="OQR50" s="45"/>
      <c r="OQS50" s="45"/>
      <c r="OQT50" s="45"/>
      <c r="OQU50" s="45"/>
      <c r="OQV50" s="45"/>
      <c r="OQW50" s="45"/>
      <c r="OQX50" s="45"/>
      <c r="OQY50" s="45"/>
      <c r="OQZ50" s="45"/>
      <c r="ORA50" s="45"/>
      <c r="ORB50" s="45"/>
      <c r="ORC50" s="45"/>
      <c r="ORD50" s="45"/>
      <c r="ORE50" s="45"/>
      <c r="ORF50" s="45"/>
      <c r="ORG50" s="45"/>
      <c r="ORH50" s="45"/>
      <c r="ORI50" s="45"/>
      <c r="ORJ50" s="45"/>
      <c r="ORK50" s="45"/>
      <c r="ORL50" s="45"/>
      <c r="ORM50" s="45"/>
      <c r="ORN50" s="45"/>
      <c r="ORO50" s="45"/>
      <c r="ORP50" s="45"/>
      <c r="ORQ50" s="45"/>
      <c r="ORR50" s="45"/>
      <c r="ORS50" s="45"/>
      <c r="ORT50" s="45"/>
      <c r="ORU50" s="45"/>
      <c r="ORV50" s="45"/>
      <c r="ORW50" s="45"/>
      <c r="ORX50" s="45"/>
      <c r="ORY50" s="45"/>
      <c r="ORZ50" s="45"/>
      <c r="OSA50" s="45"/>
      <c r="OSB50" s="45"/>
      <c r="OSC50" s="45"/>
      <c r="OSD50" s="45"/>
      <c r="OSE50" s="45"/>
      <c r="OSF50" s="45"/>
      <c r="OSG50" s="45"/>
      <c r="OSH50" s="45"/>
      <c r="OSI50" s="45"/>
      <c r="OSJ50" s="45"/>
      <c r="OSK50" s="45"/>
      <c r="OSL50" s="45"/>
      <c r="OSM50" s="45"/>
      <c r="OSN50" s="45"/>
      <c r="OSO50" s="45"/>
      <c r="OSP50" s="45"/>
      <c r="OSQ50" s="45"/>
      <c r="OSR50" s="45"/>
      <c r="OSS50" s="45"/>
      <c r="OST50" s="45"/>
      <c r="OSU50" s="45"/>
      <c r="OSV50" s="45"/>
      <c r="OSW50" s="45"/>
      <c r="OSX50" s="45"/>
      <c r="OSY50" s="45"/>
      <c r="OSZ50" s="45"/>
      <c r="OTA50" s="45"/>
      <c r="OTB50" s="45"/>
      <c r="OTC50" s="45"/>
      <c r="OTD50" s="45"/>
      <c r="OTE50" s="45"/>
      <c r="OTF50" s="45"/>
      <c r="OTG50" s="45"/>
      <c r="OTH50" s="45"/>
      <c r="OTI50" s="45"/>
      <c r="OTJ50" s="45"/>
      <c r="OTK50" s="45"/>
      <c r="OTL50" s="45"/>
      <c r="OTM50" s="45"/>
      <c r="OTN50" s="45"/>
      <c r="OTO50" s="45"/>
      <c r="OTP50" s="45"/>
      <c r="OTQ50" s="45"/>
      <c r="OTR50" s="45"/>
      <c r="OTS50" s="45"/>
      <c r="OTT50" s="45"/>
      <c r="OTU50" s="45"/>
      <c r="OTV50" s="45"/>
      <c r="OTW50" s="45"/>
      <c r="OTX50" s="45"/>
      <c r="OTY50" s="45"/>
      <c r="OTZ50" s="45"/>
      <c r="OUA50" s="45"/>
      <c r="OUB50" s="45"/>
      <c r="OUC50" s="45"/>
      <c r="OUD50" s="45"/>
      <c r="OUE50" s="45"/>
      <c r="OUF50" s="45"/>
      <c r="OUG50" s="45"/>
      <c r="OUH50" s="45"/>
      <c r="OUI50" s="45"/>
      <c r="OUJ50" s="45"/>
      <c r="OUK50" s="45"/>
      <c r="OUL50" s="45"/>
      <c r="OUM50" s="45"/>
      <c r="OUN50" s="45"/>
      <c r="OUO50" s="45"/>
      <c r="OUP50" s="45"/>
      <c r="OUQ50" s="45"/>
      <c r="OUR50" s="45"/>
      <c r="OUS50" s="45"/>
      <c r="OUT50" s="45"/>
      <c r="OUU50" s="45"/>
      <c r="OUV50" s="45"/>
      <c r="OUW50" s="45"/>
      <c r="OUX50" s="45"/>
      <c r="OUY50" s="45"/>
      <c r="OUZ50" s="45"/>
      <c r="OVA50" s="45"/>
      <c r="OVB50" s="45"/>
      <c r="OVC50" s="45"/>
      <c r="OVD50" s="45"/>
      <c r="OVE50" s="45"/>
      <c r="OVF50" s="45"/>
      <c r="OVG50" s="45"/>
      <c r="OVH50" s="45"/>
      <c r="OVI50" s="45"/>
      <c r="OVJ50" s="45"/>
      <c r="OVK50" s="45"/>
      <c r="OVL50" s="45"/>
      <c r="OVM50" s="45"/>
      <c r="OVN50" s="45"/>
      <c r="OVO50" s="45"/>
      <c r="OVP50" s="45"/>
      <c r="OVQ50" s="45"/>
      <c r="OVR50" s="45"/>
      <c r="OVS50" s="45"/>
      <c r="OVT50" s="45"/>
      <c r="OVU50" s="45"/>
      <c r="OVV50" s="45"/>
      <c r="OVW50" s="45"/>
      <c r="OVX50" s="45"/>
      <c r="OVY50" s="45"/>
      <c r="OVZ50" s="45"/>
      <c r="OWA50" s="45"/>
      <c r="OWB50" s="45"/>
      <c r="OWC50" s="45"/>
      <c r="OWD50" s="45"/>
      <c r="OWE50" s="45"/>
      <c r="OWF50" s="45"/>
      <c r="OWG50" s="45"/>
      <c r="OWH50" s="45"/>
      <c r="OWI50" s="45"/>
      <c r="OWJ50" s="45"/>
      <c r="OWK50" s="45"/>
      <c r="OWL50" s="45"/>
      <c r="OWM50" s="45"/>
      <c r="OWN50" s="45"/>
      <c r="OWO50" s="45"/>
      <c r="OWP50" s="45"/>
      <c r="OWQ50" s="45"/>
      <c r="OWR50" s="45"/>
      <c r="OWS50" s="45"/>
      <c r="OWT50" s="45"/>
      <c r="OWU50" s="45"/>
      <c r="OWV50" s="45"/>
      <c r="OWW50" s="45"/>
      <c r="OWX50" s="45"/>
      <c r="OWY50" s="45"/>
      <c r="OWZ50" s="45"/>
      <c r="OXA50" s="45"/>
      <c r="OXB50" s="45"/>
      <c r="OXC50" s="45"/>
      <c r="OXD50" s="45"/>
      <c r="OXE50" s="45"/>
      <c r="OXF50" s="45"/>
      <c r="OXG50" s="45"/>
      <c r="OXH50" s="45"/>
      <c r="OXI50" s="45"/>
      <c r="OXJ50" s="45"/>
      <c r="OXK50" s="45"/>
      <c r="OXL50" s="45"/>
      <c r="OXM50" s="45"/>
      <c r="OXN50" s="45"/>
      <c r="OXO50" s="45"/>
      <c r="OXP50" s="45"/>
      <c r="OXQ50" s="45"/>
      <c r="OXR50" s="45"/>
      <c r="OXS50" s="45"/>
      <c r="OXT50" s="45"/>
      <c r="OXU50" s="45"/>
      <c r="OXV50" s="45"/>
      <c r="OXW50" s="45"/>
      <c r="OXX50" s="45"/>
      <c r="OXY50" s="45"/>
      <c r="OXZ50" s="45"/>
      <c r="OYA50" s="45"/>
      <c r="OYB50" s="45"/>
      <c r="OYC50" s="45"/>
      <c r="OYD50" s="45"/>
      <c r="OYE50" s="45"/>
      <c r="OYF50" s="45"/>
      <c r="OYG50" s="45"/>
      <c r="OYH50" s="45"/>
      <c r="OYI50" s="45"/>
      <c r="OYJ50" s="45"/>
      <c r="OYK50" s="45"/>
      <c r="OYL50" s="45"/>
      <c r="OYM50" s="45"/>
      <c r="OYN50" s="45"/>
      <c r="OYO50" s="45"/>
      <c r="OYP50" s="45"/>
      <c r="OYQ50" s="45"/>
      <c r="OYR50" s="45"/>
      <c r="OYS50" s="45"/>
      <c r="OYT50" s="45"/>
      <c r="OYU50" s="45"/>
      <c r="OYV50" s="45"/>
      <c r="OYW50" s="45"/>
      <c r="OYX50" s="45"/>
      <c r="OYY50" s="45"/>
      <c r="OYZ50" s="45"/>
      <c r="OZA50" s="45"/>
      <c r="OZB50" s="45"/>
      <c r="OZC50" s="45"/>
      <c r="OZD50" s="45"/>
      <c r="OZE50" s="45"/>
      <c r="OZF50" s="45"/>
      <c r="OZG50" s="45"/>
      <c r="OZH50" s="45"/>
      <c r="OZI50" s="45"/>
      <c r="OZJ50" s="45"/>
      <c r="OZK50" s="45"/>
      <c r="OZL50" s="45"/>
      <c r="OZM50" s="45"/>
      <c r="OZN50" s="45"/>
      <c r="OZO50" s="45"/>
      <c r="OZP50" s="45"/>
      <c r="OZQ50" s="45"/>
      <c r="OZR50" s="45"/>
      <c r="OZS50" s="45"/>
      <c r="OZT50" s="45"/>
      <c r="OZU50" s="45"/>
      <c r="OZV50" s="45"/>
      <c r="OZW50" s="45"/>
      <c r="OZX50" s="45"/>
      <c r="OZY50" s="45"/>
      <c r="OZZ50" s="45"/>
      <c r="PAA50" s="45"/>
      <c r="PAB50" s="45"/>
      <c r="PAC50" s="45"/>
      <c r="PAD50" s="45"/>
      <c r="PAE50" s="45"/>
      <c r="PAF50" s="45"/>
      <c r="PAG50" s="45"/>
      <c r="PAH50" s="45"/>
      <c r="PAI50" s="45"/>
      <c r="PAJ50" s="45"/>
      <c r="PAK50" s="45"/>
      <c r="PAL50" s="45"/>
      <c r="PAM50" s="45"/>
      <c r="PAN50" s="45"/>
      <c r="PAO50" s="45"/>
      <c r="PAP50" s="45"/>
      <c r="PAQ50" s="45"/>
      <c r="PAR50" s="45"/>
      <c r="PAS50" s="45"/>
      <c r="PAT50" s="45"/>
      <c r="PAU50" s="45"/>
      <c r="PAV50" s="45"/>
      <c r="PAW50" s="45"/>
      <c r="PAX50" s="45"/>
      <c r="PAY50" s="45"/>
      <c r="PAZ50" s="45"/>
      <c r="PBA50" s="45"/>
      <c r="PBB50" s="45"/>
      <c r="PBC50" s="45"/>
      <c r="PBD50" s="45"/>
      <c r="PBE50" s="45"/>
      <c r="PBF50" s="45"/>
      <c r="PBG50" s="45"/>
      <c r="PBH50" s="45"/>
      <c r="PBI50" s="45"/>
      <c r="PBJ50" s="45"/>
      <c r="PBK50" s="45"/>
      <c r="PBL50" s="45"/>
      <c r="PBM50" s="45"/>
      <c r="PBN50" s="45"/>
      <c r="PBO50" s="45"/>
      <c r="PBP50" s="45"/>
      <c r="PBQ50" s="45"/>
      <c r="PBR50" s="45"/>
      <c r="PBS50" s="45"/>
      <c r="PBT50" s="45"/>
      <c r="PBU50" s="45"/>
      <c r="PBV50" s="45"/>
      <c r="PBW50" s="45"/>
      <c r="PBX50" s="45"/>
      <c r="PBY50" s="45"/>
      <c r="PBZ50" s="45"/>
      <c r="PCA50" s="45"/>
      <c r="PCB50" s="45"/>
      <c r="PCC50" s="45"/>
      <c r="PCD50" s="45"/>
      <c r="PCE50" s="45"/>
      <c r="PCF50" s="45"/>
      <c r="PCG50" s="45"/>
      <c r="PCH50" s="45"/>
      <c r="PCI50" s="45"/>
      <c r="PCJ50" s="45"/>
      <c r="PCK50" s="45"/>
      <c r="PCL50" s="45"/>
      <c r="PCM50" s="45"/>
      <c r="PCN50" s="45"/>
      <c r="PCO50" s="45"/>
      <c r="PCP50" s="45"/>
      <c r="PCQ50" s="45"/>
      <c r="PCR50" s="45"/>
      <c r="PCS50" s="45"/>
      <c r="PCT50" s="45"/>
      <c r="PCU50" s="45"/>
      <c r="PCV50" s="45"/>
      <c r="PCW50" s="45"/>
      <c r="PCX50" s="45"/>
      <c r="PCY50" s="45"/>
      <c r="PCZ50" s="45"/>
      <c r="PDA50" s="45"/>
      <c r="PDB50" s="45"/>
      <c r="PDC50" s="45"/>
      <c r="PDD50" s="45"/>
      <c r="PDE50" s="45"/>
      <c r="PDF50" s="45"/>
      <c r="PDG50" s="45"/>
      <c r="PDH50" s="45"/>
      <c r="PDI50" s="45"/>
      <c r="PDJ50" s="45"/>
      <c r="PDK50" s="45"/>
      <c r="PDL50" s="45"/>
      <c r="PDM50" s="45"/>
      <c r="PDN50" s="45"/>
      <c r="PDO50" s="45"/>
      <c r="PDP50" s="45"/>
      <c r="PDQ50" s="45"/>
      <c r="PDR50" s="45"/>
      <c r="PDS50" s="45"/>
      <c r="PDT50" s="45"/>
      <c r="PDU50" s="45"/>
      <c r="PDV50" s="45"/>
      <c r="PDW50" s="45"/>
      <c r="PDX50" s="45"/>
      <c r="PDY50" s="45"/>
      <c r="PDZ50" s="45"/>
      <c r="PEA50" s="45"/>
      <c r="PEB50" s="45"/>
      <c r="PEC50" s="45"/>
      <c r="PED50" s="45"/>
      <c r="PEE50" s="45"/>
      <c r="PEF50" s="45"/>
      <c r="PEG50" s="45"/>
      <c r="PEH50" s="45"/>
      <c r="PEI50" s="45"/>
      <c r="PEJ50" s="45"/>
      <c r="PEK50" s="45"/>
      <c r="PEL50" s="45"/>
      <c r="PEM50" s="45"/>
      <c r="PEN50" s="45"/>
      <c r="PEO50" s="45"/>
      <c r="PEP50" s="45"/>
      <c r="PEQ50" s="45"/>
      <c r="PER50" s="45"/>
      <c r="PES50" s="45"/>
      <c r="PET50" s="45"/>
      <c r="PEU50" s="45"/>
      <c r="PEV50" s="45"/>
      <c r="PEW50" s="45"/>
      <c r="PEX50" s="45"/>
      <c r="PEY50" s="45"/>
      <c r="PEZ50" s="45"/>
      <c r="PFA50" s="45"/>
      <c r="PFB50" s="45"/>
      <c r="PFC50" s="45"/>
      <c r="PFD50" s="45"/>
      <c r="PFE50" s="45"/>
      <c r="PFF50" s="45"/>
      <c r="PFG50" s="45"/>
      <c r="PFH50" s="45"/>
      <c r="PFI50" s="45"/>
      <c r="PFJ50" s="45"/>
      <c r="PFK50" s="45"/>
      <c r="PFL50" s="45"/>
      <c r="PFM50" s="45"/>
      <c r="PFN50" s="45"/>
      <c r="PFO50" s="45"/>
      <c r="PFP50" s="45"/>
      <c r="PFQ50" s="45"/>
      <c r="PFR50" s="45"/>
      <c r="PFS50" s="45"/>
      <c r="PFT50" s="45"/>
      <c r="PFU50" s="45"/>
      <c r="PFV50" s="45"/>
      <c r="PFW50" s="45"/>
      <c r="PFX50" s="45"/>
      <c r="PFY50" s="45"/>
      <c r="PFZ50" s="45"/>
      <c r="PGA50" s="45"/>
      <c r="PGB50" s="45"/>
      <c r="PGC50" s="45"/>
      <c r="PGD50" s="45"/>
      <c r="PGE50" s="45"/>
      <c r="PGF50" s="45"/>
      <c r="PGG50" s="45"/>
      <c r="PGH50" s="45"/>
      <c r="PGI50" s="45"/>
      <c r="PGJ50" s="45"/>
      <c r="PGK50" s="45"/>
      <c r="PGL50" s="45"/>
      <c r="PGM50" s="45"/>
      <c r="PGN50" s="45"/>
      <c r="PGO50" s="45"/>
      <c r="PGP50" s="45"/>
      <c r="PGQ50" s="45"/>
      <c r="PGR50" s="45"/>
      <c r="PGS50" s="45"/>
      <c r="PGT50" s="45"/>
      <c r="PGU50" s="45"/>
      <c r="PGV50" s="45"/>
      <c r="PGW50" s="45"/>
      <c r="PGX50" s="45"/>
      <c r="PGY50" s="45"/>
      <c r="PGZ50" s="45"/>
      <c r="PHA50" s="45"/>
      <c r="PHB50" s="45"/>
      <c r="PHC50" s="45"/>
      <c r="PHD50" s="45"/>
      <c r="PHE50" s="45"/>
      <c r="PHF50" s="45"/>
      <c r="PHG50" s="45"/>
      <c r="PHH50" s="45"/>
      <c r="PHI50" s="45"/>
      <c r="PHJ50" s="45"/>
      <c r="PHK50" s="45"/>
      <c r="PHL50" s="45"/>
      <c r="PHM50" s="45"/>
      <c r="PHN50" s="45"/>
      <c r="PHO50" s="45"/>
      <c r="PHP50" s="45"/>
      <c r="PHQ50" s="45"/>
      <c r="PHR50" s="45"/>
      <c r="PHS50" s="45"/>
      <c r="PHT50" s="45"/>
      <c r="PHU50" s="45"/>
      <c r="PHV50" s="45"/>
      <c r="PHW50" s="45"/>
      <c r="PHX50" s="45"/>
      <c r="PHY50" s="45"/>
      <c r="PHZ50" s="45"/>
      <c r="PIA50" s="45"/>
      <c r="PIB50" s="45"/>
      <c r="PIC50" s="45"/>
      <c r="PID50" s="45"/>
      <c r="PIE50" s="45"/>
      <c r="PIF50" s="45"/>
      <c r="PIG50" s="45"/>
      <c r="PIH50" s="45"/>
      <c r="PII50" s="45"/>
      <c r="PIJ50" s="45"/>
      <c r="PIK50" s="45"/>
      <c r="PIL50" s="45"/>
      <c r="PIM50" s="45"/>
      <c r="PIN50" s="45"/>
      <c r="PIO50" s="45"/>
      <c r="PIP50" s="45"/>
      <c r="PIQ50" s="45"/>
      <c r="PIR50" s="45"/>
      <c r="PIS50" s="45"/>
      <c r="PIT50" s="45"/>
      <c r="PIU50" s="45"/>
      <c r="PIV50" s="45"/>
      <c r="PIW50" s="45"/>
      <c r="PIX50" s="45"/>
      <c r="PIY50" s="45"/>
      <c r="PIZ50" s="45"/>
      <c r="PJA50" s="45"/>
      <c r="PJB50" s="45"/>
      <c r="PJC50" s="45"/>
      <c r="PJD50" s="45"/>
      <c r="PJE50" s="45"/>
      <c r="PJF50" s="45"/>
      <c r="PJG50" s="45"/>
      <c r="PJH50" s="45"/>
      <c r="PJI50" s="45"/>
      <c r="PJJ50" s="45"/>
      <c r="PJK50" s="45"/>
      <c r="PJL50" s="45"/>
      <c r="PJM50" s="45"/>
      <c r="PJN50" s="45"/>
      <c r="PJO50" s="45"/>
      <c r="PJP50" s="45"/>
      <c r="PJQ50" s="45"/>
      <c r="PJR50" s="45"/>
      <c r="PJS50" s="45"/>
      <c r="PJT50" s="45"/>
      <c r="PJU50" s="45"/>
      <c r="PJV50" s="45"/>
      <c r="PJW50" s="45"/>
      <c r="PJX50" s="45"/>
      <c r="PJY50" s="45"/>
      <c r="PJZ50" s="45"/>
      <c r="PKA50" s="45"/>
      <c r="PKB50" s="45"/>
      <c r="PKC50" s="45"/>
      <c r="PKD50" s="45"/>
      <c r="PKE50" s="45"/>
      <c r="PKF50" s="45"/>
      <c r="PKG50" s="45"/>
      <c r="PKH50" s="45"/>
      <c r="PKI50" s="45"/>
      <c r="PKJ50" s="45"/>
      <c r="PKK50" s="45"/>
      <c r="PKL50" s="45"/>
      <c r="PKM50" s="45"/>
      <c r="PKN50" s="45"/>
      <c r="PKO50" s="45"/>
      <c r="PKP50" s="45"/>
      <c r="PKQ50" s="45"/>
      <c r="PKR50" s="45"/>
      <c r="PKS50" s="45"/>
      <c r="PKT50" s="45"/>
      <c r="PKU50" s="45"/>
      <c r="PKV50" s="45"/>
      <c r="PKW50" s="45"/>
      <c r="PKX50" s="45"/>
      <c r="PKY50" s="45"/>
      <c r="PKZ50" s="45"/>
      <c r="PLA50" s="45"/>
      <c r="PLB50" s="45"/>
      <c r="PLC50" s="45"/>
      <c r="PLD50" s="45"/>
      <c r="PLE50" s="45"/>
      <c r="PLF50" s="45"/>
      <c r="PLG50" s="45"/>
      <c r="PLH50" s="45"/>
      <c r="PLI50" s="45"/>
      <c r="PLJ50" s="45"/>
      <c r="PLK50" s="45"/>
      <c r="PLL50" s="45"/>
      <c r="PLM50" s="45"/>
      <c r="PLN50" s="45"/>
      <c r="PLO50" s="45"/>
      <c r="PLP50" s="45"/>
      <c r="PLQ50" s="45"/>
      <c r="PLR50" s="45"/>
      <c r="PLS50" s="45"/>
      <c r="PLT50" s="45"/>
      <c r="PLU50" s="45"/>
      <c r="PLV50" s="45"/>
      <c r="PLW50" s="45"/>
      <c r="PLX50" s="45"/>
      <c r="PLY50" s="45"/>
      <c r="PLZ50" s="45"/>
      <c r="PMA50" s="45"/>
      <c r="PMB50" s="45"/>
      <c r="PMC50" s="45"/>
      <c r="PMD50" s="45"/>
      <c r="PME50" s="45"/>
      <c r="PMF50" s="45"/>
      <c r="PMG50" s="45"/>
      <c r="PMH50" s="45"/>
      <c r="PMI50" s="45"/>
      <c r="PMJ50" s="45"/>
      <c r="PMK50" s="45"/>
      <c r="PML50" s="45"/>
      <c r="PMM50" s="45"/>
      <c r="PMN50" s="45"/>
      <c r="PMO50" s="45"/>
      <c r="PMP50" s="45"/>
      <c r="PMQ50" s="45"/>
      <c r="PMR50" s="45"/>
      <c r="PMS50" s="45"/>
      <c r="PMT50" s="45"/>
      <c r="PMU50" s="45"/>
      <c r="PMV50" s="45"/>
      <c r="PMW50" s="45"/>
      <c r="PMX50" s="45"/>
      <c r="PMY50" s="45"/>
      <c r="PMZ50" s="45"/>
      <c r="PNA50" s="45"/>
      <c r="PNB50" s="45"/>
      <c r="PNC50" s="45"/>
      <c r="PND50" s="45"/>
      <c r="PNE50" s="45"/>
      <c r="PNF50" s="45"/>
      <c r="PNG50" s="45"/>
      <c r="PNH50" s="45"/>
      <c r="PNI50" s="45"/>
      <c r="PNJ50" s="45"/>
      <c r="PNK50" s="45"/>
      <c r="PNL50" s="45"/>
      <c r="PNM50" s="45"/>
      <c r="PNN50" s="45"/>
      <c r="PNO50" s="45"/>
      <c r="PNP50" s="45"/>
      <c r="PNQ50" s="45"/>
      <c r="PNR50" s="45"/>
      <c r="PNS50" s="45"/>
      <c r="PNT50" s="45"/>
      <c r="PNU50" s="45"/>
      <c r="PNV50" s="45"/>
      <c r="PNW50" s="45"/>
      <c r="PNX50" s="45"/>
      <c r="PNY50" s="45"/>
      <c r="PNZ50" s="45"/>
      <c r="POA50" s="45"/>
      <c r="POB50" s="45"/>
      <c r="POC50" s="45"/>
      <c r="POD50" s="45"/>
      <c r="POE50" s="45"/>
      <c r="POF50" s="45"/>
      <c r="POG50" s="45"/>
      <c r="POH50" s="45"/>
      <c r="POI50" s="45"/>
      <c r="POJ50" s="45"/>
      <c r="POK50" s="45"/>
      <c r="POL50" s="45"/>
      <c r="POM50" s="45"/>
      <c r="PON50" s="45"/>
      <c r="POO50" s="45"/>
      <c r="POP50" s="45"/>
      <c r="POQ50" s="45"/>
      <c r="POR50" s="45"/>
      <c r="POS50" s="45"/>
      <c r="POT50" s="45"/>
      <c r="POU50" s="45"/>
      <c r="POV50" s="45"/>
      <c r="POW50" s="45"/>
      <c r="POX50" s="45"/>
      <c r="POY50" s="45"/>
      <c r="POZ50" s="45"/>
      <c r="PPA50" s="45"/>
      <c r="PPB50" s="45"/>
      <c r="PPC50" s="45"/>
      <c r="PPD50" s="45"/>
      <c r="PPE50" s="45"/>
      <c r="PPF50" s="45"/>
      <c r="PPG50" s="45"/>
      <c r="PPH50" s="45"/>
      <c r="PPI50" s="45"/>
      <c r="PPJ50" s="45"/>
      <c r="PPK50" s="45"/>
      <c r="PPL50" s="45"/>
      <c r="PPM50" s="45"/>
      <c r="PPN50" s="45"/>
      <c r="PPO50" s="45"/>
      <c r="PPP50" s="45"/>
      <c r="PPQ50" s="45"/>
      <c r="PPR50" s="45"/>
      <c r="PPS50" s="45"/>
      <c r="PPT50" s="45"/>
      <c r="PPU50" s="45"/>
      <c r="PPV50" s="45"/>
      <c r="PPW50" s="45"/>
      <c r="PPX50" s="45"/>
      <c r="PPY50" s="45"/>
      <c r="PPZ50" s="45"/>
      <c r="PQA50" s="45"/>
      <c r="PQB50" s="45"/>
      <c r="PQC50" s="45"/>
      <c r="PQD50" s="45"/>
      <c r="PQE50" s="45"/>
      <c r="PQF50" s="45"/>
      <c r="PQG50" s="45"/>
      <c r="PQH50" s="45"/>
      <c r="PQI50" s="45"/>
      <c r="PQJ50" s="45"/>
      <c r="PQK50" s="45"/>
      <c r="PQL50" s="45"/>
      <c r="PQM50" s="45"/>
      <c r="PQN50" s="45"/>
      <c r="PQO50" s="45"/>
      <c r="PQP50" s="45"/>
      <c r="PQQ50" s="45"/>
      <c r="PQR50" s="45"/>
      <c r="PQS50" s="45"/>
      <c r="PQT50" s="45"/>
      <c r="PQU50" s="45"/>
      <c r="PQV50" s="45"/>
      <c r="PQW50" s="45"/>
      <c r="PQX50" s="45"/>
      <c r="PQY50" s="45"/>
      <c r="PQZ50" s="45"/>
      <c r="PRA50" s="45"/>
      <c r="PRB50" s="45"/>
      <c r="PRC50" s="45"/>
      <c r="PRD50" s="45"/>
      <c r="PRE50" s="45"/>
      <c r="PRF50" s="45"/>
      <c r="PRG50" s="45"/>
      <c r="PRH50" s="45"/>
      <c r="PRI50" s="45"/>
      <c r="PRJ50" s="45"/>
      <c r="PRK50" s="45"/>
      <c r="PRL50" s="45"/>
      <c r="PRM50" s="45"/>
      <c r="PRN50" s="45"/>
      <c r="PRO50" s="45"/>
      <c r="PRP50" s="45"/>
      <c r="PRQ50" s="45"/>
      <c r="PRR50" s="45"/>
      <c r="PRS50" s="45"/>
      <c r="PRT50" s="45"/>
      <c r="PRU50" s="45"/>
      <c r="PRV50" s="45"/>
      <c r="PRW50" s="45"/>
      <c r="PRX50" s="45"/>
      <c r="PRY50" s="45"/>
      <c r="PRZ50" s="45"/>
      <c r="PSA50" s="45"/>
      <c r="PSB50" s="45"/>
      <c r="PSC50" s="45"/>
      <c r="PSD50" s="45"/>
      <c r="PSE50" s="45"/>
      <c r="PSF50" s="45"/>
      <c r="PSG50" s="45"/>
      <c r="PSH50" s="45"/>
      <c r="PSI50" s="45"/>
      <c r="PSJ50" s="45"/>
      <c r="PSK50" s="45"/>
      <c r="PSL50" s="45"/>
      <c r="PSM50" s="45"/>
      <c r="PSN50" s="45"/>
      <c r="PSO50" s="45"/>
      <c r="PSP50" s="45"/>
      <c r="PSQ50" s="45"/>
      <c r="PSR50" s="45"/>
      <c r="PSS50" s="45"/>
      <c r="PST50" s="45"/>
      <c r="PSU50" s="45"/>
      <c r="PSV50" s="45"/>
      <c r="PSW50" s="45"/>
      <c r="PSX50" s="45"/>
      <c r="PSY50" s="45"/>
      <c r="PSZ50" s="45"/>
      <c r="PTA50" s="45"/>
      <c r="PTB50" s="45"/>
      <c r="PTC50" s="45"/>
      <c r="PTD50" s="45"/>
      <c r="PTE50" s="45"/>
      <c r="PTF50" s="45"/>
      <c r="PTG50" s="45"/>
      <c r="PTH50" s="45"/>
      <c r="PTI50" s="45"/>
      <c r="PTJ50" s="45"/>
      <c r="PTK50" s="45"/>
      <c r="PTL50" s="45"/>
      <c r="PTM50" s="45"/>
      <c r="PTN50" s="45"/>
      <c r="PTO50" s="45"/>
      <c r="PTP50" s="45"/>
      <c r="PTQ50" s="45"/>
      <c r="PTR50" s="45"/>
      <c r="PTS50" s="45"/>
      <c r="PTT50" s="45"/>
      <c r="PTU50" s="45"/>
      <c r="PTV50" s="45"/>
      <c r="PTW50" s="45"/>
      <c r="PTX50" s="45"/>
      <c r="PTY50" s="45"/>
      <c r="PTZ50" s="45"/>
      <c r="PUA50" s="45"/>
      <c r="PUB50" s="45"/>
      <c r="PUC50" s="45"/>
      <c r="PUD50" s="45"/>
      <c r="PUE50" s="45"/>
      <c r="PUF50" s="45"/>
      <c r="PUG50" s="45"/>
      <c r="PUH50" s="45"/>
      <c r="PUI50" s="45"/>
      <c r="PUJ50" s="45"/>
      <c r="PUK50" s="45"/>
      <c r="PUL50" s="45"/>
      <c r="PUM50" s="45"/>
      <c r="PUN50" s="45"/>
      <c r="PUO50" s="45"/>
      <c r="PUP50" s="45"/>
      <c r="PUQ50" s="45"/>
      <c r="PUR50" s="45"/>
      <c r="PUS50" s="45"/>
      <c r="PUT50" s="45"/>
      <c r="PUU50" s="45"/>
      <c r="PUV50" s="45"/>
      <c r="PUW50" s="45"/>
      <c r="PUX50" s="45"/>
      <c r="PUY50" s="45"/>
      <c r="PUZ50" s="45"/>
      <c r="PVA50" s="45"/>
      <c r="PVB50" s="45"/>
      <c r="PVC50" s="45"/>
      <c r="PVD50" s="45"/>
      <c r="PVE50" s="45"/>
      <c r="PVF50" s="45"/>
      <c r="PVG50" s="45"/>
      <c r="PVH50" s="45"/>
      <c r="PVI50" s="45"/>
      <c r="PVJ50" s="45"/>
      <c r="PVK50" s="45"/>
      <c r="PVL50" s="45"/>
      <c r="PVM50" s="45"/>
      <c r="PVN50" s="45"/>
      <c r="PVO50" s="45"/>
      <c r="PVP50" s="45"/>
      <c r="PVQ50" s="45"/>
      <c r="PVR50" s="45"/>
      <c r="PVS50" s="45"/>
      <c r="PVT50" s="45"/>
      <c r="PVU50" s="45"/>
      <c r="PVV50" s="45"/>
      <c r="PVW50" s="45"/>
      <c r="PVX50" s="45"/>
      <c r="PVY50" s="45"/>
      <c r="PVZ50" s="45"/>
      <c r="PWA50" s="45"/>
      <c r="PWB50" s="45"/>
      <c r="PWC50" s="45"/>
      <c r="PWD50" s="45"/>
      <c r="PWE50" s="45"/>
      <c r="PWF50" s="45"/>
      <c r="PWG50" s="45"/>
      <c r="PWH50" s="45"/>
      <c r="PWI50" s="45"/>
      <c r="PWJ50" s="45"/>
      <c r="PWK50" s="45"/>
      <c r="PWL50" s="45"/>
      <c r="PWM50" s="45"/>
      <c r="PWN50" s="45"/>
      <c r="PWO50" s="45"/>
      <c r="PWP50" s="45"/>
      <c r="PWQ50" s="45"/>
      <c r="PWR50" s="45"/>
      <c r="PWS50" s="45"/>
      <c r="PWT50" s="45"/>
      <c r="PWU50" s="45"/>
      <c r="PWV50" s="45"/>
      <c r="PWW50" s="45"/>
      <c r="PWX50" s="45"/>
      <c r="PWY50" s="45"/>
      <c r="PWZ50" s="45"/>
      <c r="PXA50" s="45"/>
      <c r="PXB50" s="45"/>
      <c r="PXC50" s="45"/>
      <c r="PXD50" s="45"/>
      <c r="PXE50" s="45"/>
      <c r="PXF50" s="45"/>
      <c r="PXG50" s="45"/>
      <c r="PXH50" s="45"/>
      <c r="PXI50" s="45"/>
      <c r="PXJ50" s="45"/>
      <c r="PXK50" s="45"/>
      <c r="PXL50" s="45"/>
      <c r="PXM50" s="45"/>
      <c r="PXN50" s="45"/>
      <c r="PXO50" s="45"/>
      <c r="PXP50" s="45"/>
      <c r="PXQ50" s="45"/>
      <c r="PXR50" s="45"/>
      <c r="PXS50" s="45"/>
      <c r="PXT50" s="45"/>
      <c r="PXU50" s="45"/>
      <c r="PXV50" s="45"/>
      <c r="PXW50" s="45"/>
      <c r="PXX50" s="45"/>
      <c r="PXY50" s="45"/>
      <c r="PXZ50" s="45"/>
      <c r="PYA50" s="45"/>
      <c r="PYB50" s="45"/>
      <c r="PYC50" s="45"/>
      <c r="PYD50" s="45"/>
      <c r="PYE50" s="45"/>
      <c r="PYF50" s="45"/>
      <c r="PYG50" s="45"/>
      <c r="PYH50" s="45"/>
      <c r="PYI50" s="45"/>
      <c r="PYJ50" s="45"/>
      <c r="PYK50" s="45"/>
      <c r="PYL50" s="45"/>
      <c r="PYM50" s="45"/>
      <c r="PYN50" s="45"/>
      <c r="PYO50" s="45"/>
      <c r="PYP50" s="45"/>
      <c r="PYQ50" s="45"/>
      <c r="PYR50" s="45"/>
      <c r="PYS50" s="45"/>
      <c r="PYT50" s="45"/>
      <c r="PYU50" s="45"/>
      <c r="PYV50" s="45"/>
      <c r="PYW50" s="45"/>
      <c r="PYX50" s="45"/>
      <c r="PYY50" s="45"/>
      <c r="PYZ50" s="45"/>
      <c r="PZA50" s="45"/>
      <c r="PZB50" s="45"/>
      <c r="PZC50" s="45"/>
      <c r="PZD50" s="45"/>
      <c r="PZE50" s="45"/>
      <c r="PZF50" s="45"/>
      <c r="PZG50" s="45"/>
      <c r="PZH50" s="45"/>
      <c r="PZI50" s="45"/>
      <c r="PZJ50" s="45"/>
      <c r="PZK50" s="45"/>
      <c r="PZL50" s="45"/>
      <c r="PZM50" s="45"/>
      <c r="PZN50" s="45"/>
      <c r="PZO50" s="45"/>
      <c r="PZP50" s="45"/>
      <c r="PZQ50" s="45"/>
      <c r="PZR50" s="45"/>
      <c r="PZS50" s="45"/>
      <c r="PZT50" s="45"/>
      <c r="PZU50" s="45"/>
      <c r="PZV50" s="45"/>
      <c r="PZW50" s="45"/>
      <c r="PZX50" s="45"/>
      <c r="PZY50" s="45"/>
      <c r="PZZ50" s="45"/>
      <c r="QAA50" s="45"/>
      <c r="QAB50" s="45"/>
      <c r="QAC50" s="45"/>
      <c r="QAD50" s="45"/>
      <c r="QAE50" s="45"/>
      <c r="QAF50" s="45"/>
      <c r="QAG50" s="45"/>
      <c r="QAH50" s="45"/>
      <c r="QAI50" s="45"/>
      <c r="QAJ50" s="45"/>
      <c r="QAK50" s="45"/>
      <c r="QAL50" s="45"/>
      <c r="QAM50" s="45"/>
      <c r="QAN50" s="45"/>
      <c r="QAO50" s="45"/>
      <c r="QAP50" s="45"/>
      <c r="QAQ50" s="45"/>
      <c r="QAR50" s="45"/>
      <c r="QAS50" s="45"/>
      <c r="QAT50" s="45"/>
      <c r="QAU50" s="45"/>
      <c r="QAV50" s="45"/>
      <c r="QAW50" s="45"/>
      <c r="QAX50" s="45"/>
      <c r="QAY50" s="45"/>
      <c r="QAZ50" s="45"/>
      <c r="QBA50" s="45"/>
      <c r="QBB50" s="45"/>
      <c r="QBC50" s="45"/>
      <c r="QBD50" s="45"/>
      <c r="QBE50" s="45"/>
      <c r="QBF50" s="45"/>
      <c r="QBG50" s="45"/>
      <c r="QBH50" s="45"/>
      <c r="QBI50" s="45"/>
      <c r="QBJ50" s="45"/>
      <c r="QBK50" s="45"/>
      <c r="QBL50" s="45"/>
      <c r="QBM50" s="45"/>
      <c r="QBN50" s="45"/>
      <c r="QBO50" s="45"/>
      <c r="QBP50" s="45"/>
      <c r="QBQ50" s="45"/>
      <c r="QBR50" s="45"/>
      <c r="QBS50" s="45"/>
      <c r="QBT50" s="45"/>
      <c r="QBU50" s="45"/>
      <c r="QBV50" s="45"/>
      <c r="QBW50" s="45"/>
      <c r="QBX50" s="45"/>
      <c r="QBY50" s="45"/>
      <c r="QBZ50" s="45"/>
      <c r="QCA50" s="45"/>
      <c r="QCB50" s="45"/>
      <c r="QCC50" s="45"/>
      <c r="QCD50" s="45"/>
      <c r="QCE50" s="45"/>
      <c r="QCF50" s="45"/>
      <c r="QCG50" s="45"/>
      <c r="QCH50" s="45"/>
      <c r="QCI50" s="45"/>
      <c r="QCJ50" s="45"/>
      <c r="QCK50" s="45"/>
      <c r="QCL50" s="45"/>
      <c r="QCM50" s="45"/>
      <c r="QCN50" s="45"/>
      <c r="QCO50" s="45"/>
      <c r="QCP50" s="45"/>
      <c r="QCQ50" s="45"/>
      <c r="QCR50" s="45"/>
      <c r="QCS50" s="45"/>
      <c r="QCT50" s="45"/>
      <c r="QCU50" s="45"/>
      <c r="QCV50" s="45"/>
      <c r="QCW50" s="45"/>
      <c r="QCX50" s="45"/>
      <c r="QCY50" s="45"/>
      <c r="QCZ50" s="45"/>
      <c r="QDA50" s="45"/>
      <c r="QDB50" s="45"/>
      <c r="QDC50" s="45"/>
      <c r="QDD50" s="45"/>
      <c r="QDE50" s="45"/>
      <c r="QDF50" s="45"/>
      <c r="QDG50" s="45"/>
      <c r="QDH50" s="45"/>
      <c r="QDI50" s="45"/>
      <c r="QDJ50" s="45"/>
      <c r="QDK50" s="45"/>
      <c r="QDL50" s="45"/>
      <c r="QDM50" s="45"/>
      <c r="QDN50" s="45"/>
      <c r="QDO50" s="45"/>
      <c r="QDP50" s="45"/>
      <c r="QDQ50" s="45"/>
      <c r="QDR50" s="45"/>
      <c r="QDS50" s="45"/>
      <c r="QDT50" s="45"/>
      <c r="QDU50" s="45"/>
      <c r="QDV50" s="45"/>
      <c r="QDW50" s="45"/>
      <c r="QDX50" s="45"/>
      <c r="QDY50" s="45"/>
      <c r="QDZ50" s="45"/>
      <c r="QEA50" s="45"/>
      <c r="QEB50" s="45"/>
      <c r="QEC50" s="45"/>
      <c r="QED50" s="45"/>
      <c r="QEE50" s="45"/>
      <c r="QEF50" s="45"/>
      <c r="QEG50" s="45"/>
      <c r="QEH50" s="45"/>
      <c r="QEI50" s="45"/>
      <c r="QEJ50" s="45"/>
      <c r="QEK50" s="45"/>
      <c r="QEL50" s="45"/>
      <c r="QEM50" s="45"/>
      <c r="QEN50" s="45"/>
      <c r="QEO50" s="45"/>
      <c r="QEP50" s="45"/>
      <c r="QEQ50" s="45"/>
      <c r="QER50" s="45"/>
      <c r="QES50" s="45"/>
      <c r="QET50" s="45"/>
      <c r="QEU50" s="45"/>
      <c r="QEV50" s="45"/>
      <c r="QEW50" s="45"/>
      <c r="QEX50" s="45"/>
      <c r="QEY50" s="45"/>
      <c r="QEZ50" s="45"/>
      <c r="QFA50" s="45"/>
      <c r="QFB50" s="45"/>
      <c r="QFC50" s="45"/>
      <c r="QFD50" s="45"/>
      <c r="QFE50" s="45"/>
      <c r="QFF50" s="45"/>
      <c r="QFG50" s="45"/>
      <c r="QFH50" s="45"/>
      <c r="QFI50" s="45"/>
      <c r="QFJ50" s="45"/>
      <c r="QFK50" s="45"/>
      <c r="QFL50" s="45"/>
      <c r="QFM50" s="45"/>
      <c r="QFN50" s="45"/>
      <c r="QFO50" s="45"/>
      <c r="QFP50" s="45"/>
      <c r="QFQ50" s="45"/>
      <c r="QFR50" s="45"/>
      <c r="QFS50" s="45"/>
      <c r="QFT50" s="45"/>
      <c r="QFU50" s="45"/>
      <c r="QFV50" s="45"/>
      <c r="QFW50" s="45"/>
      <c r="QFX50" s="45"/>
      <c r="QFY50" s="45"/>
      <c r="QFZ50" s="45"/>
      <c r="QGA50" s="45"/>
      <c r="QGB50" s="45"/>
      <c r="QGC50" s="45"/>
      <c r="QGD50" s="45"/>
      <c r="QGE50" s="45"/>
      <c r="QGF50" s="45"/>
      <c r="QGG50" s="45"/>
      <c r="QGH50" s="45"/>
      <c r="QGI50" s="45"/>
      <c r="QGJ50" s="45"/>
      <c r="QGK50" s="45"/>
      <c r="QGL50" s="45"/>
      <c r="QGM50" s="45"/>
      <c r="QGN50" s="45"/>
      <c r="QGO50" s="45"/>
      <c r="QGP50" s="45"/>
      <c r="QGQ50" s="45"/>
      <c r="QGR50" s="45"/>
      <c r="QGS50" s="45"/>
      <c r="QGT50" s="45"/>
      <c r="QGU50" s="45"/>
      <c r="QGV50" s="45"/>
      <c r="QGW50" s="45"/>
      <c r="QGX50" s="45"/>
      <c r="QGY50" s="45"/>
      <c r="QGZ50" s="45"/>
      <c r="QHA50" s="45"/>
      <c r="QHB50" s="45"/>
      <c r="QHC50" s="45"/>
      <c r="QHD50" s="45"/>
      <c r="QHE50" s="45"/>
      <c r="QHF50" s="45"/>
      <c r="QHG50" s="45"/>
      <c r="QHH50" s="45"/>
      <c r="QHI50" s="45"/>
      <c r="QHJ50" s="45"/>
      <c r="QHK50" s="45"/>
      <c r="QHL50" s="45"/>
      <c r="QHM50" s="45"/>
      <c r="QHN50" s="45"/>
      <c r="QHO50" s="45"/>
      <c r="QHP50" s="45"/>
      <c r="QHQ50" s="45"/>
      <c r="QHR50" s="45"/>
      <c r="QHS50" s="45"/>
      <c r="QHT50" s="45"/>
      <c r="QHU50" s="45"/>
      <c r="QHV50" s="45"/>
      <c r="QHW50" s="45"/>
      <c r="QHX50" s="45"/>
      <c r="QHY50" s="45"/>
      <c r="QHZ50" s="45"/>
      <c r="QIA50" s="45"/>
      <c r="QIB50" s="45"/>
      <c r="QIC50" s="45"/>
      <c r="QID50" s="45"/>
      <c r="QIE50" s="45"/>
      <c r="QIF50" s="45"/>
      <c r="QIG50" s="45"/>
      <c r="QIH50" s="45"/>
      <c r="QII50" s="45"/>
      <c r="QIJ50" s="45"/>
      <c r="QIK50" s="45"/>
      <c r="QIL50" s="45"/>
      <c r="QIM50" s="45"/>
      <c r="QIN50" s="45"/>
      <c r="QIO50" s="45"/>
      <c r="QIP50" s="45"/>
      <c r="QIQ50" s="45"/>
      <c r="QIR50" s="45"/>
      <c r="QIS50" s="45"/>
      <c r="QIT50" s="45"/>
      <c r="QIU50" s="45"/>
      <c r="QIV50" s="45"/>
      <c r="QIW50" s="45"/>
      <c r="QIX50" s="45"/>
      <c r="QIY50" s="45"/>
      <c r="QIZ50" s="45"/>
      <c r="QJA50" s="45"/>
      <c r="QJB50" s="45"/>
      <c r="QJC50" s="45"/>
      <c r="QJD50" s="45"/>
      <c r="QJE50" s="45"/>
      <c r="QJF50" s="45"/>
      <c r="QJG50" s="45"/>
      <c r="QJH50" s="45"/>
      <c r="QJI50" s="45"/>
      <c r="QJJ50" s="45"/>
      <c r="QJK50" s="45"/>
      <c r="QJL50" s="45"/>
      <c r="QJM50" s="45"/>
      <c r="QJN50" s="45"/>
      <c r="QJO50" s="45"/>
      <c r="QJP50" s="45"/>
      <c r="QJQ50" s="45"/>
      <c r="QJR50" s="45"/>
      <c r="QJS50" s="45"/>
      <c r="QJT50" s="45"/>
      <c r="QJU50" s="45"/>
      <c r="QJV50" s="45"/>
      <c r="QJW50" s="45"/>
      <c r="QJX50" s="45"/>
      <c r="QJY50" s="45"/>
      <c r="QJZ50" s="45"/>
      <c r="QKA50" s="45"/>
      <c r="QKB50" s="45"/>
      <c r="QKC50" s="45"/>
      <c r="QKD50" s="45"/>
      <c r="QKE50" s="45"/>
      <c r="QKF50" s="45"/>
      <c r="QKG50" s="45"/>
      <c r="QKH50" s="45"/>
      <c r="QKI50" s="45"/>
      <c r="QKJ50" s="45"/>
      <c r="QKK50" s="45"/>
      <c r="QKL50" s="45"/>
      <c r="QKM50" s="45"/>
      <c r="QKN50" s="45"/>
      <c r="QKO50" s="45"/>
      <c r="QKP50" s="45"/>
      <c r="QKQ50" s="45"/>
      <c r="QKR50" s="45"/>
      <c r="QKS50" s="45"/>
      <c r="QKT50" s="45"/>
      <c r="QKU50" s="45"/>
      <c r="QKV50" s="45"/>
      <c r="QKW50" s="45"/>
      <c r="QKX50" s="45"/>
      <c r="QKY50" s="45"/>
      <c r="QKZ50" s="45"/>
      <c r="QLA50" s="45"/>
      <c r="QLB50" s="45"/>
      <c r="QLC50" s="45"/>
      <c r="QLD50" s="45"/>
      <c r="QLE50" s="45"/>
      <c r="QLF50" s="45"/>
      <c r="QLG50" s="45"/>
      <c r="QLH50" s="45"/>
      <c r="QLI50" s="45"/>
      <c r="QLJ50" s="45"/>
      <c r="QLK50" s="45"/>
      <c r="QLL50" s="45"/>
      <c r="QLM50" s="45"/>
      <c r="QLN50" s="45"/>
      <c r="QLO50" s="45"/>
      <c r="QLP50" s="45"/>
      <c r="QLQ50" s="45"/>
      <c r="QLR50" s="45"/>
      <c r="QLS50" s="45"/>
      <c r="QLT50" s="45"/>
      <c r="QLU50" s="45"/>
      <c r="QLV50" s="45"/>
      <c r="QLW50" s="45"/>
      <c r="QLX50" s="45"/>
      <c r="QLY50" s="45"/>
      <c r="QLZ50" s="45"/>
      <c r="QMA50" s="45"/>
      <c r="QMB50" s="45"/>
      <c r="QMC50" s="45"/>
      <c r="QMD50" s="45"/>
      <c r="QME50" s="45"/>
      <c r="QMF50" s="45"/>
      <c r="QMG50" s="45"/>
      <c r="QMH50" s="45"/>
      <c r="QMI50" s="45"/>
      <c r="QMJ50" s="45"/>
      <c r="QMK50" s="45"/>
      <c r="QML50" s="45"/>
      <c r="QMM50" s="45"/>
      <c r="QMN50" s="45"/>
      <c r="QMO50" s="45"/>
      <c r="QMP50" s="45"/>
      <c r="QMQ50" s="45"/>
      <c r="QMR50" s="45"/>
      <c r="QMS50" s="45"/>
      <c r="QMT50" s="45"/>
      <c r="QMU50" s="45"/>
      <c r="QMV50" s="45"/>
      <c r="QMW50" s="45"/>
      <c r="QMX50" s="45"/>
      <c r="QMY50" s="45"/>
      <c r="QMZ50" s="45"/>
      <c r="QNA50" s="45"/>
      <c r="QNB50" s="45"/>
      <c r="QNC50" s="45"/>
      <c r="QND50" s="45"/>
      <c r="QNE50" s="45"/>
      <c r="QNF50" s="45"/>
      <c r="QNG50" s="45"/>
      <c r="QNH50" s="45"/>
      <c r="QNI50" s="45"/>
      <c r="QNJ50" s="45"/>
      <c r="QNK50" s="45"/>
      <c r="QNL50" s="45"/>
      <c r="QNM50" s="45"/>
      <c r="QNN50" s="45"/>
      <c r="QNO50" s="45"/>
      <c r="QNP50" s="45"/>
      <c r="QNQ50" s="45"/>
      <c r="QNR50" s="45"/>
      <c r="QNS50" s="45"/>
      <c r="QNT50" s="45"/>
      <c r="QNU50" s="45"/>
      <c r="QNV50" s="45"/>
      <c r="QNW50" s="45"/>
      <c r="QNX50" s="45"/>
      <c r="QNY50" s="45"/>
      <c r="QNZ50" s="45"/>
      <c r="QOA50" s="45"/>
      <c r="QOB50" s="45"/>
      <c r="QOC50" s="45"/>
      <c r="QOD50" s="45"/>
      <c r="QOE50" s="45"/>
      <c r="QOF50" s="45"/>
      <c r="QOG50" s="45"/>
      <c r="QOH50" s="45"/>
      <c r="QOI50" s="45"/>
      <c r="QOJ50" s="45"/>
      <c r="QOK50" s="45"/>
      <c r="QOL50" s="45"/>
      <c r="QOM50" s="45"/>
      <c r="QON50" s="45"/>
      <c r="QOO50" s="45"/>
      <c r="QOP50" s="45"/>
      <c r="QOQ50" s="45"/>
      <c r="QOR50" s="45"/>
      <c r="QOS50" s="45"/>
      <c r="QOT50" s="45"/>
      <c r="QOU50" s="45"/>
      <c r="QOV50" s="45"/>
      <c r="QOW50" s="45"/>
      <c r="QOX50" s="45"/>
      <c r="QOY50" s="45"/>
      <c r="QOZ50" s="45"/>
      <c r="QPA50" s="45"/>
      <c r="QPB50" s="45"/>
      <c r="QPC50" s="45"/>
      <c r="QPD50" s="45"/>
      <c r="QPE50" s="45"/>
      <c r="QPF50" s="45"/>
      <c r="QPG50" s="45"/>
      <c r="QPH50" s="45"/>
      <c r="QPI50" s="45"/>
      <c r="QPJ50" s="45"/>
      <c r="QPK50" s="45"/>
      <c r="QPL50" s="45"/>
      <c r="QPM50" s="45"/>
      <c r="QPN50" s="45"/>
      <c r="QPO50" s="45"/>
      <c r="QPP50" s="45"/>
      <c r="QPQ50" s="45"/>
      <c r="QPR50" s="45"/>
      <c r="QPS50" s="45"/>
      <c r="QPT50" s="45"/>
      <c r="QPU50" s="45"/>
      <c r="QPV50" s="45"/>
      <c r="QPW50" s="45"/>
      <c r="QPX50" s="45"/>
      <c r="QPY50" s="45"/>
      <c r="QPZ50" s="45"/>
      <c r="QQA50" s="45"/>
      <c r="QQB50" s="45"/>
      <c r="QQC50" s="45"/>
      <c r="QQD50" s="45"/>
      <c r="QQE50" s="45"/>
      <c r="QQF50" s="45"/>
      <c r="QQG50" s="45"/>
      <c r="QQH50" s="45"/>
      <c r="QQI50" s="45"/>
      <c r="QQJ50" s="45"/>
      <c r="QQK50" s="45"/>
      <c r="QQL50" s="45"/>
      <c r="QQM50" s="45"/>
      <c r="QQN50" s="45"/>
      <c r="QQO50" s="45"/>
      <c r="QQP50" s="45"/>
      <c r="QQQ50" s="45"/>
      <c r="QQR50" s="45"/>
      <c r="QQS50" s="45"/>
      <c r="QQT50" s="45"/>
      <c r="QQU50" s="45"/>
      <c r="QQV50" s="45"/>
      <c r="QQW50" s="45"/>
      <c r="QQX50" s="45"/>
      <c r="QQY50" s="45"/>
      <c r="QQZ50" s="45"/>
      <c r="QRA50" s="45"/>
      <c r="QRB50" s="45"/>
      <c r="QRC50" s="45"/>
      <c r="QRD50" s="45"/>
      <c r="QRE50" s="45"/>
      <c r="QRF50" s="45"/>
      <c r="QRG50" s="45"/>
      <c r="QRH50" s="45"/>
      <c r="QRI50" s="45"/>
      <c r="QRJ50" s="45"/>
      <c r="QRK50" s="45"/>
      <c r="QRL50" s="45"/>
      <c r="QRM50" s="45"/>
      <c r="QRN50" s="45"/>
      <c r="QRO50" s="45"/>
      <c r="QRP50" s="45"/>
      <c r="QRQ50" s="45"/>
      <c r="QRR50" s="45"/>
      <c r="QRS50" s="45"/>
      <c r="QRT50" s="45"/>
      <c r="QRU50" s="45"/>
      <c r="QRV50" s="45"/>
      <c r="QRW50" s="45"/>
      <c r="QRX50" s="45"/>
      <c r="QRY50" s="45"/>
      <c r="QRZ50" s="45"/>
      <c r="QSA50" s="45"/>
      <c r="QSB50" s="45"/>
      <c r="QSC50" s="45"/>
      <c r="QSD50" s="45"/>
      <c r="QSE50" s="45"/>
      <c r="QSF50" s="45"/>
      <c r="QSG50" s="45"/>
      <c r="QSH50" s="45"/>
      <c r="QSI50" s="45"/>
      <c r="QSJ50" s="45"/>
      <c r="QSK50" s="45"/>
      <c r="QSL50" s="45"/>
      <c r="QSM50" s="45"/>
      <c r="QSN50" s="45"/>
      <c r="QSO50" s="45"/>
      <c r="QSP50" s="45"/>
      <c r="QSQ50" s="45"/>
      <c r="QSR50" s="45"/>
      <c r="QSS50" s="45"/>
      <c r="QST50" s="45"/>
      <c r="QSU50" s="45"/>
      <c r="QSV50" s="45"/>
      <c r="QSW50" s="45"/>
      <c r="QSX50" s="45"/>
      <c r="QSY50" s="45"/>
      <c r="QSZ50" s="45"/>
      <c r="QTA50" s="45"/>
      <c r="QTB50" s="45"/>
      <c r="QTC50" s="45"/>
      <c r="QTD50" s="45"/>
      <c r="QTE50" s="45"/>
      <c r="QTF50" s="45"/>
      <c r="QTG50" s="45"/>
      <c r="QTH50" s="45"/>
      <c r="QTI50" s="45"/>
      <c r="QTJ50" s="45"/>
      <c r="QTK50" s="45"/>
      <c r="QTL50" s="45"/>
      <c r="QTM50" s="45"/>
      <c r="QTN50" s="45"/>
      <c r="QTO50" s="45"/>
      <c r="QTP50" s="45"/>
      <c r="QTQ50" s="45"/>
      <c r="QTR50" s="45"/>
      <c r="QTS50" s="45"/>
      <c r="QTT50" s="45"/>
      <c r="QTU50" s="45"/>
      <c r="QTV50" s="45"/>
      <c r="QTW50" s="45"/>
      <c r="QTX50" s="45"/>
      <c r="QTY50" s="45"/>
      <c r="QTZ50" s="45"/>
      <c r="QUA50" s="45"/>
      <c r="QUB50" s="45"/>
      <c r="QUC50" s="45"/>
      <c r="QUD50" s="45"/>
      <c r="QUE50" s="45"/>
      <c r="QUF50" s="45"/>
      <c r="QUG50" s="45"/>
      <c r="QUH50" s="45"/>
      <c r="QUI50" s="45"/>
      <c r="QUJ50" s="45"/>
      <c r="QUK50" s="45"/>
      <c r="QUL50" s="45"/>
      <c r="QUM50" s="45"/>
      <c r="QUN50" s="45"/>
      <c r="QUO50" s="45"/>
      <c r="QUP50" s="45"/>
      <c r="QUQ50" s="45"/>
      <c r="QUR50" s="45"/>
      <c r="QUS50" s="45"/>
      <c r="QUT50" s="45"/>
      <c r="QUU50" s="45"/>
      <c r="QUV50" s="45"/>
      <c r="QUW50" s="45"/>
      <c r="QUX50" s="45"/>
      <c r="QUY50" s="45"/>
      <c r="QUZ50" s="45"/>
      <c r="QVA50" s="45"/>
      <c r="QVB50" s="45"/>
      <c r="QVC50" s="45"/>
      <c r="QVD50" s="45"/>
      <c r="QVE50" s="45"/>
      <c r="QVF50" s="45"/>
      <c r="QVG50" s="45"/>
      <c r="QVH50" s="45"/>
      <c r="QVI50" s="45"/>
      <c r="QVJ50" s="45"/>
      <c r="QVK50" s="45"/>
      <c r="QVL50" s="45"/>
      <c r="QVM50" s="45"/>
      <c r="QVN50" s="45"/>
      <c r="QVO50" s="45"/>
      <c r="QVP50" s="45"/>
      <c r="QVQ50" s="45"/>
      <c r="QVR50" s="45"/>
      <c r="QVS50" s="45"/>
      <c r="QVT50" s="45"/>
      <c r="QVU50" s="45"/>
      <c r="QVV50" s="45"/>
      <c r="QVW50" s="45"/>
      <c r="QVX50" s="45"/>
      <c r="QVY50" s="45"/>
      <c r="QVZ50" s="45"/>
      <c r="QWA50" s="45"/>
      <c r="QWB50" s="45"/>
      <c r="QWC50" s="45"/>
      <c r="QWD50" s="45"/>
      <c r="QWE50" s="45"/>
      <c r="QWF50" s="45"/>
      <c r="QWG50" s="45"/>
      <c r="QWH50" s="45"/>
      <c r="QWI50" s="45"/>
      <c r="QWJ50" s="45"/>
      <c r="QWK50" s="45"/>
      <c r="QWL50" s="45"/>
      <c r="QWM50" s="45"/>
      <c r="QWN50" s="45"/>
      <c r="QWO50" s="45"/>
      <c r="QWP50" s="45"/>
      <c r="QWQ50" s="45"/>
      <c r="QWR50" s="45"/>
      <c r="QWS50" s="45"/>
      <c r="QWT50" s="45"/>
      <c r="QWU50" s="45"/>
      <c r="QWV50" s="45"/>
      <c r="QWW50" s="45"/>
      <c r="QWX50" s="45"/>
      <c r="QWY50" s="45"/>
      <c r="QWZ50" s="45"/>
      <c r="QXA50" s="45"/>
      <c r="QXB50" s="45"/>
      <c r="QXC50" s="45"/>
      <c r="QXD50" s="45"/>
      <c r="QXE50" s="45"/>
      <c r="QXF50" s="45"/>
      <c r="QXG50" s="45"/>
      <c r="QXH50" s="45"/>
      <c r="QXI50" s="45"/>
      <c r="QXJ50" s="45"/>
      <c r="QXK50" s="45"/>
      <c r="QXL50" s="45"/>
      <c r="QXM50" s="45"/>
      <c r="QXN50" s="45"/>
      <c r="QXO50" s="45"/>
      <c r="QXP50" s="45"/>
      <c r="QXQ50" s="45"/>
      <c r="QXR50" s="45"/>
      <c r="QXS50" s="45"/>
      <c r="QXT50" s="45"/>
      <c r="QXU50" s="45"/>
      <c r="QXV50" s="45"/>
      <c r="QXW50" s="45"/>
      <c r="QXX50" s="45"/>
      <c r="QXY50" s="45"/>
      <c r="QXZ50" s="45"/>
      <c r="QYA50" s="45"/>
      <c r="QYB50" s="45"/>
      <c r="QYC50" s="45"/>
      <c r="QYD50" s="45"/>
      <c r="QYE50" s="45"/>
      <c r="QYF50" s="45"/>
      <c r="QYG50" s="45"/>
      <c r="QYH50" s="45"/>
      <c r="QYI50" s="45"/>
      <c r="QYJ50" s="45"/>
      <c r="QYK50" s="45"/>
      <c r="QYL50" s="45"/>
      <c r="QYM50" s="45"/>
      <c r="QYN50" s="45"/>
      <c r="QYO50" s="45"/>
      <c r="QYP50" s="45"/>
      <c r="QYQ50" s="45"/>
      <c r="QYR50" s="45"/>
      <c r="QYS50" s="45"/>
      <c r="QYT50" s="45"/>
      <c r="QYU50" s="45"/>
      <c r="QYV50" s="45"/>
      <c r="QYW50" s="45"/>
      <c r="QYX50" s="45"/>
      <c r="QYY50" s="45"/>
      <c r="QYZ50" s="45"/>
      <c r="QZA50" s="45"/>
      <c r="QZB50" s="45"/>
      <c r="QZC50" s="45"/>
      <c r="QZD50" s="45"/>
      <c r="QZE50" s="45"/>
      <c r="QZF50" s="45"/>
      <c r="QZG50" s="45"/>
      <c r="QZH50" s="45"/>
      <c r="QZI50" s="45"/>
      <c r="QZJ50" s="45"/>
      <c r="QZK50" s="45"/>
      <c r="QZL50" s="45"/>
      <c r="QZM50" s="45"/>
      <c r="QZN50" s="45"/>
      <c r="QZO50" s="45"/>
      <c r="QZP50" s="45"/>
      <c r="QZQ50" s="45"/>
      <c r="QZR50" s="45"/>
      <c r="QZS50" s="45"/>
      <c r="QZT50" s="45"/>
      <c r="QZU50" s="45"/>
      <c r="QZV50" s="45"/>
      <c r="QZW50" s="45"/>
      <c r="QZX50" s="45"/>
      <c r="QZY50" s="45"/>
      <c r="QZZ50" s="45"/>
      <c r="RAA50" s="45"/>
      <c r="RAB50" s="45"/>
      <c r="RAC50" s="45"/>
      <c r="RAD50" s="45"/>
      <c r="RAE50" s="45"/>
      <c r="RAF50" s="45"/>
      <c r="RAG50" s="45"/>
      <c r="RAH50" s="45"/>
      <c r="RAI50" s="45"/>
      <c r="RAJ50" s="45"/>
      <c r="RAK50" s="45"/>
      <c r="RAL50" s="45"/>
      <c r="RAM50" s="45"/>
      <c r="RAN50" s="45"/>
      <c r="RAO50" s="45"/>
      <c r="RAP50" s="45"/>
      <c r="RAQ50" s="45"/>
      <c r="RAR50" s="45"/>
      <c r="RAS50" s="45"/>
      <c r="RAT50" s="45"/>
      <c r="RAU50" s="45"/>
      <c r="RAV50" s="45"/>
      <c r="RAW50" s="45"/>
      <c r="RAX50" s="45"/>
      <c r="RAY50" s="45"/>
      <c r="RAZ50" s="45"/>
      <c r="RBA50" s="45"/>
      <c r="RBB50" s="45"/>
      <c r="RBC50" s="45"/>
      <c r="RBD50" s="45"/>
      <c r="RBE50" s="45"/>
      <c r="RBF50" s="45"/>
      <c r="RBG50" s="45"/>
      <c r="RBH50" s="45"/>
      <c r="RBI50" s="45"/>
      <c r="RBJ50" s="45"/>
      <c r="RBK50" s="45"/>
      <c r="RBL50" s="45"/>
      <c r="RBM50" s="45"/>
      <c r="RBN50" s="45"/>
      <c r="RBO50" s="45"/>
      <c r="RBP50" s="45"/>
      <c r="RBQ50" s="45"/>
      <c r="RBR50" s="45"/>
      <c r="RBS50" s="45"/>
      <c r="RBT50" s="45"/>
      <c r="RBU50" s="45"/>
      <c r="RBV50" s="45"/>
      <c r="RBW50" s="45"/>
      <c r="RBX50" s="45"/>
      <c r="RBY50" s="45"/>
      <c r="RBZ50" s="45"/>
      <c r="RCA50" s="45"/>
      <c r="RCB50" s="45"/>
      <c r="RCC50" s="45"/>
      <c r="RCD50" s="45"/>
      <c r="RCE50" s="45"/>
      <c r="RCF50" s="45"/>
      <c r="RCG50" s="45"/>
      <c r="RCH50" s="45"/>
      <c r="RCI50" s="45"/>
      <c r="RCJ50" s="45"/>
      <c r="RCK50" s="45"/>
      <c r="RCL50" s="45"/>
      <c r="RCM50" s="45"/>
      <c r="RCN50" s="45"/>
      <c r="RCO50" s="45"/>
      <c r="RCP50" s="45"/>
      <c r="RCQ50" s="45"/>
      <c r="RCR50" s="45"/>
      <c r="RCS50" s="45"/>
      <c r="RCT50" s="45"/>
      <c r="RCU50" s="45"/>
      <c r="RCV50" s="45"/>
      <c r="RCW50" s="45"/>
      <c r="RCX50" s="45"/>
      <c r="RCY50" s="45"/>
      <c r="RCZ50" s="45"/>
      <c r="RDA50" s="45"/>
      <c r="RDB50" s="45"/>
      <c r="RDC50" s="45"/>
      <c r="RDD50" s="45"/>
      <c r="RDE50" s="45"/>
      <c r="RDF50" s="45"/>
      <c r="RDG50" s="45"/>
      <c r="RDH50" s="45"/>
      <c r="RDI50" s="45"/>
      <c r="RDJ50" s="45"/>
      <c r="RDK50" s="45"/>
      <c r="RDL50" s="45"/>
      <c r="RDM50" s="45"/>
      <c r="RDN50" s="45"/>
      <c r="RDO50" s="45"/>
      <c r="RDP50" s="45"/>
      <c r="RDQ50" s="45"/>
      <c r="RDR50" s="45"/>
      <c r="RDS50" s="45"/>
      <c r="RDT50" s="45"/>
      <c r="RDU50" s="45"/>
      <c r="RDV50" s="45"/>
      <c r="RDW50" s="45"/>
      <c r="RDX50" s="45"/>
      <c r="RDY50" s="45"/>
      <c r="RDZ50" s="45"/>
      <c r="REA50" s="45"/>
      <c r="REB50" s="45"/>
      <c r="REC50" s="45"/>
      <c r="RED50" s="45"/>
      <c r="REE50" s="45"/>
      <c r="REF50" s="45"/>
      <c r="REG50" s="45"/>
      <c r="REH50" s="45"/>
      <c r="REI50" s="45"/>
      <c r="REJ50" s="45"/>
      <c r="REK50" s="45"/>
      <c r="REL50" s="45"/>
      <c r="REM50" s="45"/>
      <c r="REN50" s="45"/>
      <c r="REO50" s="45"/>
      <c r="REP50" s="45"/>
      <c r="REQ50" s="45"/>
      <c r="RER50" s="45"/>
      <c r="RES50" s="45"/>
      <c r="RET50" s="45"/>
      <c r="REU50" s="45"/>
      <c r="REV50" s="45"/>
      <c r="REW50" s="45"/>
      <c r="REX50" s="45"/>
      <c r="REY50" s="45"/>
      <c r="REZ50" s="45"/>
      <c r="RFA50" s="45"/>
      <c r="RFB50" s="45"/>
      <c r="RFC50" s="45"/>
      <c r="RFD50" s="45"/>
      <c r="RFE50" s="45"/>
      <c r="RFF50" s="45"/>
      <c r="RFG50" s="45"/>
      <c r="RFH50" s="45"/>
      <c r="RFI50" s="45"/>
      <c r="RFJ50" s="45"/>
      <c r="RFK50" s="45"/>
      <c r="RFL50" s="45"/>
      <c r="RFM50" s="45"/>
      <c r="RFN50" s="45"/>
      <c r="RFO50" s="45"/>
      <c r="RFP50" s="45"/>
      <c r="RFQ50" s="45"/>
      <c r="RFR50" s="45"/>
      <c r="RFS50" s="45"/>
      <c r="RFT50" s="45"/>
      <c r="RFU50" s="45"/>
      <c r="RFV50" s="45"/>
      <c r="RFW50" s="45"/>
      <c r="RFX50" s="45"/>
      <c r="RFY50" s="45"/>
      <c r="RFZ50" s="45"/>
      <c r="RGA50" s="45"/>
      <c r="RGB50" s="45"/>
      <c r="RGC50" s="45"/>
      <c r="RGD50" s="45"/>
      <c r="RGE50" s="45"/>
      <c r="RGF50" s="45"/>
      <c r="RGG50" s="45"/>
      <c r="RGH50" s="45"/>
      <c r="RGI50" s="45"/>
      <c r="RGJ50" s="45"/>
      <c r="RGK50" s="45"/>
      <c r="RGL50" s="45"/>
      <c r="RGM50" s="45"/>
      <c r="RGN50" s="45"/>
      <c r="RGO50" s="45"/>
      <c r="RGP50" s="45"/>
      <c r="RGQ50" s="45"/>
      <c r="RGR50" s="45"/>
      <c r="RGS50" s="45"/>
      <c r="RGT50" s="45"/>
      <c r="RGU50" s="45"/>
      <c r="RGV50" s="45"/>
      <c r="RGW50" s="45"/>
      <c r="RGX50" s="45"/>
      <c r="RGY50" s="45"/>
      <c r="RGZ50" s="45"/>
      <c r="RHA50" s="45"/>
      <c r="RHB50" s="45"/>
      <c r="RHC50" s="45"/>
      <c r="RHD50" s="45"/>
      <c r="RHE50" s="45"/>
      <c r="RHF50" s="45"/>
      <c r="RHG50" s="45"/>
      <c r="RHH50" s="45"/>
      <c r="RHI50" s="45"/>
      <c r="RHJ50" s="45"/>
      <c r="RHK50" s="45"/>
      <c r="RHL50" s="45"/>
      <c r="RHM50" s="45"/>
      <c r="RHN50" s="45"/>
      <c r="RHO50" s="45"/>
      <c r="RHP50" s="45"/>
      <c r="RHQ50" s="45"/>
      <c r="RHR50" s="45"/>
      <c r="RHS50" s="45"/>
      <c r="RHT50" s="45"/>
      <c r="RHU50" s="45"/>
      <c r="RHV50" s="45"/>
      <c r="RHW50" s="45"/>
      <c r="RHX50" s="45"/>
      <c r="RHY50" s="45"/>
      <c r="RHZ50" s="45"/>
      <c r="RIA50" s="45"/>
      <c r="RIB50" s="45"/>
      <c r="RIC50" s="45"/>
      <c r="RID50" s="45"/>
      <c r="RIE50" s="45"/>
      <c r="RIF50" s="45"/>
      <c r="RIG50" s="45"/>
      <c r="RIH50" s="45"/>
      <c r="RII50" s="45"/>
      <c r="RIJ50" s="45"/>
      <c r="RIK50" s="45"/>
      <c r="RIL50" s="45"/>
      <c r="RIM50" s="45"/>
      <c r="RIN50" s="45"/>
      <c r="RIO50" s="45"/>
      <c r="RIP50" s="45"/>
      <c r="RIQ50" s="45"/>
      <c r="RIR50" s="45"/>
      <c r="RIS50" s="45"/>
      <c r="RIT50" s="45"/>
      <c r="RIU50" s="45"/>
      <c r="RIV50" s="45"/>
      <c r="RIW50" s="45"/>
      <c r="RIX50" s="45"/>
      <c r="RIY50" s="45"/>
      <c r="RIZ50" s="45"/>
      <c r="RJA50" s="45"/>
      <c r="RJB50" s="45"/>
      <c r="RJC50" s="45"/>
      <c r="RJD50" s="45"/>
      <c r="RJE50" s="45"/>
      <c r="RJF50" s="45"/>
      <c r="RJG50" s="45"/>
      <c r="RJH50" s="45"/>
      <c r="RJI50" s="45"/>
      <c r="RJJ50" s="45"/>
      <c r="RJK50" s="45"/>
      <c r="RJL50" s="45"/>
      <c r="RJM50" s="45"/>
      <c r="RJN50" s="45"/>
      <c r="RJO50" s="45"/>
      <c r="RJP50" s="45"/>
      <c r="RJQ50" s="45"/>
      <c r="RJR50" s="45"/>
      <c r="RJS50" s="45"/>
      <c r="RJT50" s="45"/>
      <c r="RJU50" s="45"/>
      <c r="RJV50" s="45"/>
      <c r="RJW50" s="45"/>
      <c r="RJX50" s="45"/>
      <c r="RJY50" s="45"/>
      <c r="RJZ50" s="45"/>
      <c r="RKA50" s="45"/>
      <c r="RKB50" s="45"/>
      <c r="RKC50" s="45"/>
      <c r="RKD50" s="45"/>
      <c r="RKE50" s="45"/>
      <c r="RKF50" s="45"/>
      <c r="RKG50" s="45"/>
      <c r="RKH50" s="45"/>
      <c r="RKI50" s="45"/>
      <c r="RKJ50" s="45"/>
      <c r="RKK50" s="45"/>
      <c r="RKL50" s="45"/>
      <c r="RKM50" s="45"/>
      <c r="RKN50" s="45"/>
      <c r="RKO50" s="45"/>
      <c r="RKP50" s="45"/>
      <c r="RKQ50" s="45"/>
      <c r="RKR50" s="45"/>
      <c r="RKS50" s="45"/>
      <c r="RKT50" s="45"/>
      <c r="RKU50" s="45"/>
      <c r="RKV50" s="45"/>
      <c r="RKW50" s="45"/>
      <c r="RKX50" s="45"/>
      <c r="RKY50" s="45"/>
      <c r="RKZ50" s="45"/>
      <c r="RLA50" s="45"/>
      <c r="RLB50" s="45"/>
      <c r="RLC50" s="45"/>
      <c r="RLD50" s="45"/>
      <c r="RLE50" s="45"/>
      <c r="RLF50" s="45"/>
      <c r="RLG50" s="45"/>
      <c r="RLH50" s="45"/>
      <c r="RLI50" s="45"/>
      <c r="RLJ50" s="45"/>
      <c r="RLK50" s="45"/>
      <c r="RLL50" s="45"/>
      <c r="RLM50" s="45"/>
      <c r="RLN50" s="45"/>
      <c r="RLO50" s="45"/>
      <c r="RLP50" s="45"/>
      <c r="RLQ50" s="45"/>
      <c r="RLR50" s="45"/>
      <c r="RLS50" s="45"/>
      <c r="RLT50" s="45"/>
      <c r="RLU50" s="45"/>
      <c r="RLV50" s="45"/>
      <c r="RLW50" s="45"/>
      <c r="RLX50" s="45"/>
      <c r="RLY50" s="45"/>
      <c r="RLZ50" s="45"/>
      <c r="RMA50" s="45"/>
      <c r="RMB50" s="45"/>
      <c r="RMC50" s="45"/>
      <c r="RMD50" s="45"/>
      <c r="RME50" s="45"/>
      <c r="RMF50" s="45"/>
      <c r="RMG50" s="45"/>
      <c r="RMH50" s="45"/>
      <c r="RMI50" s="45"/>
      <c r="RMJ50" s="45"/>
      <c r="RMK50" s="45"/>
      <c r="RML50" s="45"/>
      <c r="RMM50" s="45"/>
      <c r="RMN50" s="45"/>
      <c r="RMO50" s="45"/>
      <c r="RMP50" s="45"/>
      <c r="RMQ50" s="45"/>
      <c r="RMR50" s="45"/>
      <c r="RMS50" s="45"/>
      <c r="RMT50" s="45"/>
      <c r="RMU50" s="45"/>
      <c r="RMV50" s="45"/>
      <c r="RMW50" s="45"/>
      <c r="RMX50" s="45"/>
      <c r="RMY50" s="45"/>
      <c r="RMZ50" s="45"/>
      <c r="RNA50" s="45"/>
      <c r="RNB50" s="45"/>
      <c r="RNC50" s="45"/>
      <c r="RND50" s="45"/>
      <c r="RNE50" s="45"/>
      <c r="RNF50" s="45"/>
      <c r="RNG50" s="45"/>
      <c r="RNH50" s="45"/>
      <c r="RNI50" s="45"/>
      <c r="RNJ50" s="45"/>
      <c r="RNK50" s="45"/>
      <c r="RNL50" s="45"/>
      <c r="RNM50" s="45"/>
      <c r="RNN50" s="45"/>
      <c r="RNO50" s="45"/>
      <c r="RNP50" s="45"/>
      <c r="RNQ50" s="45"/>
      <c r="RNR50" s="45"/>
      <c r="RNS50" s="45"/>
      <c r="RNT50" s="45"/>
      <c r="RNU50" s="45"/>
      <c r="RNV50" s="45"/>
      <c r="RNW50" s="45"/>
      <c r="RNX50" s="45"/>
      <c r="RNY50" s="45"/>
      <c r="RNZ50" s="45"/>
      <c r="ROA50" s="45"/>
      <c r="ROB50" s="45"/>
      <c r="ROC50" s="45"/>
      <c r="ROD50" s="45"/>
      <c r="ROE50" s="45"/>
      <c r="ROF50" s="45"/>
      <c r="ROG50" s="45"/>
      <c r="ROH50" s="45"/>
      <c r="ROI50" s="45"/>
      <c r="ROJ50" s="45"/>
      <c r="ROK50" s="45"/>
      <c r="ROL50" s="45"/>
      <c r="ROM50" s="45"/>
      <c r="RON50" s="45"/>
      <c r="ROO50" s="45"/>
      <c r="ROP50" s="45"/>
      <c r="ROQ50" s="45"/>
      <c r="ROR50" s="45"/>
      <c r="ROS50" s="45"/>
      <c r="ROT50" s="45"/>
      <c r="ROU50" s="45"/>
      <c r="ROV50" s="45"/>
      <c r="ROW50" s="45"/>
      <c r="ROX50" s="45"/>
      <c r="ROY50" s="45"/>
      <c r="ROZ50" s="45"/>
      <c r="RPA50" s="45"/>
      <c r="RPB50" s="45"/>
      <c r="RPC50" s="45"/>
      <c r="RPD50" s="45"/>
      <c r="RPE50" s="45"/>
      <c r="RPF50" s="45"/>
      <c r="RPG50" s="45"/>
      <c r="RPH50" s="45"/>
      <c r="RPI50" s="45"/>
      <c r="RPJ50" s="45"/>
      <c r="RPK50" s="45"/>
      <c r="RPL50" s="45"/>
      <c r="RPM50" s="45"/>
      <c r="RPN50" s="45"/>
      <c r="RPO50" s="45"/>
      <c r="RPP50" s="45"/>
      <c r="RPQ50" s="45"/>
      <c r="RPR50" s="45"/>
      <c r="RPS50" s="45"/>
      <c r="RPT50" s="45"/>
      <c r="RPU50" s="45"/>
      <c r="RPV50" s="45"/>
      <c r="RPW50" s="45"/>
      <c r="RPX50" s="45"/>
      <c r="RPY50" s="45"/>
      <c r="RPZ50" s="45"/>
      <c r="RQA50" s="45"/>
      <c r="RQB50" s="45"/>
      <c r="RQC50" s="45"/>
      <c r="RQD50" s="45"/>
      <c r="RQE50" s="45"/>
      <c r="RQF50" s="45"/>
      <c r="RQG50" s="45"/>
      <c r="RQH50" s="45"/>
      <c r="RQI50" s="45"/>
      <c r="RQJ50" s="45"/>
      <c r="RQK50" s="45"/>
      <c r="RQL50" s="45"/>
      <c r="RQM50" s="45"/>
      <c r="RQN50" s="45"/>
      <c r="RQO50" s="45"/>
      <c r="RQP50" s="45"/>
      <c r="RQQ50" s="45"/>
      <c r="RQR50" s="45"/>
      <c r="RQS50" s="45"/>
      <c r="RQT50" s="45"/>
      <c r="RQU50" s="45"/>
      <c r="RQV50" s="45"/>
      <c r="RQW50" s="45"/>
      <c r="RQX50" s="45"/>
      <c r="RQY50" s="45"/>
      <c r="RQZ50" s="45"/>
      <c r="RRA50" s="45"/>
      <c r="RRB50" s="45"/>
      <c r="RRC50" s="45"/>
      <c r="RRD50" s="45"/>
      <c r="RRE50" s="45"/>
      <c r="RRF50" s="45"/>
      <c r="RRG50" s="45"/>
      <c r="RRH50" s="45"/>
      <c r="RRI50" s="45"/>
      <c r="RRJ50" s="45"/>
      <c r="RRK50" s="45"/>
      <c r="RRL50" s="45"/>
      <c r="RRM50" s="45"/>
      <c r="RRN50" s="45"/>
      <c r="RRO50" s="45"/>
      <c r="RRP50" s="45"/>
      <c r="RRQ50" s="45"/>
      <c r="RRR50" s="45"/>
      <c r="RRS50" s="45"/>
      <c r="RRT50" s="45"/>
      <c r="RRU50" s="45"/>
      <c r="RRV50" s="45"/>
      <c r="RRW50" s="45"/>
      <c r="RRX50" s="45"/>
      <c r="RRY50" s="45"/>
      <c r="RRZ50" s="45"/>
      <c r="RSA50" s="45"/>
      <c r="RSB50" s="45"/>
      <c r="RSC50" s="45"/>
      <c r="RSD50" s="45"/>
      <c r="RSE50" s="45"/>
      <c r="RSF50" s="45"/>
      <c r="RSG50" s="45"/>
      <c r="RSH50" s="45"/>
      <c r="RSI50" s="45"/>
      <c r="RSJ50" s="45"/>
      <c r="RSK50" s="45"/>
      <c r="RSL50" s="45"/>
      <c r="RSM50" s="45"/>
      <c r="RSN50" s="45"/>
      <c r="RSO50" s="45"/>
      <c r="RSP50" s="45"/>
      <c r="RSQ50" s="45"/>
      <c r="RSR50" s="45"/>
      <c r="RSS50" s="45"/>
      <c r="RST50" s="45"/>
      <c r="RSU50" s="45"/>
      <c r="RSV50" s="45"/>
      <c r="RSW50" s="45"/>
      <c r="RSX50" s="45"/>
      <c r="RSY50" s="45"/>
      <c r="RSZ50" s="45"/>
      <c r="RTA50" s="45"/>
      <c r="RTB50" s="45"/>
      <c r="RTC50" s="45"/>
      <c r="RTD50" s="45"/>
      <c r="RTE50" s="45"/>
      <c r="RTF50" s="45"/>
      <c r="RTG50" s="45"/>
      <c r="RTH50" s="45"/>
      <c r="RTI50" s="45"/>
      <c r="RTJ50" s="45"/>
      <c r="RTK50" s="45"/>
      <c r="RTL50" s="45"/>
      <c r="RTM50" s="45"/>
      <c r="RTN50" s="45"/>
      <c r="RTO50" s="45"/>
      <c r="RTP50" s="45"/>
      <c r="RTQ50" s="45"/>
      <c r="RTR50" s="45"/>
      <c r="RTS50" s="45"/>
      <c r="RTT50" s="45"/>
      <c r="RTU50" s="45"/>
      <c r="RTV50" s="45"/>
      <c r="RTW50" s="45"/>
      <c r="RTX50" s="45"/>
      <c r="RTY50" s="45"/>
      <c r="RTZ50" s="45"/>
      <c r="RUA50" s="45"/>
      <c r="RUB50" s="45"/>
      <c r="RUC50" s="45"/>
      <c r="RUD50" s="45"/>
      <c r="RUE50" s="45"/>
      <c r="RUF50" s="45"/>
      <c r="RUG50" s="45"/>
      <c r="RUH50" s="45"/>
      <c r="RUI50" s="45"/>
      <c r="RUJ50" s="45"/>
      <c r="RUK50" s="45"/>
      <c r="RUL50" s="45"/>
      <c r="RUM50" s="45"/>
      <c r="RUN50" s="45"/>
      <c r="RUO50" s="45"/>
      <c r="RUP50" s="45"/>
      <c r="RUQ50" s="45"/>
      <c r="RUR50" s="45"/>
      <c r="RUS50" s="45"/>
      <c r="RUT50" s="45"/>
      <c r="RUU50" s="45"/>
      <c r="RUV50" s="45"/>
      <c r="RUW50" s="45"/>
      <c r="RUX50" s="45"/>
      <c r="RUY50" s="45"/>
      <c r="RUZ50" s="45"/>
      <c r="RVA50" s="45"/>
      <c r="RVB50" s="45"/>
      <c r="RVC50" s="45"/>
      <c r="RVD50" s="45"/>
      <c r="RVE50" s="45"/>
      <c r="RVF50" s="45"/>
      <c r="RVG50" s="45"/>
      <c r="RVH50" s="45"/>
      <c r="RVI50" s="45"/>
      <c r="RVJ50" s="45"/>
      <c r="RVK50" s="45"/>
      <c r="RVL50" s="45"/>
      <c r="RVM50" s="45"/>
      <c r="RVN50" s="45"/>
      <c r="RVO50" s="45"/>
      <c r="RVP50" s="45"/>
      <c r="RVQ50" s="45"/>
      <c r="RVR50" s="45"/>
      <c r="RVS50" s="45"/>
      <c r="RVT50" s="45"/>
      <c r="RVU50" s="45"/>
      <c r="RVV50" s="45"/>
      <c r="RVW50" s="45"/>
      <c r="RVX50" s="45"/>
      <c r="RVY50" s="45"/>
      <c r="RVZ50" s="45"/>
      <c r="RWA50" s="45"/>
      <c r="RWB50" s="45"/>
      <c r="RWC50" s="45"/>
      <c r="RWD50" s="45"/>
      <c r="RWE50" s="45"/>
      <c r="RWF50" s="45"/>
      <c r="RWG50" s="45"/>
      <c r="RWH50" s="45"/>
      <c r="RWI50" s="45"/>
      <c r="RWJ50" s="45"/>
      <c r="RWK50" s="45"/>
      <c r="RWL50" s="45"/>
      <c r="RWM50" s="45"/>
      <c r="RWN50" s="45"/>
      <c r="RWO50" s="45"/>
      <c r="RWP50" s="45"/>
      <c r="RWQ50" s="45"/>
      <c r="RWR50" s="45"/>
      <c r="RWS50" s="45"/>
      <c r="RWT50" s="45"/>
      <c r="RWU50" s="45"/>
      <c r="RWV50" s="45"/>
      <c r="RWW50" s="45"/>
      <c r="RWX50" s="45"/>
      <c r="RWY50" s="45"/>
      <c r="RWZ50" s="45"/>
      <c r="RXA50" s="45"/>
      <c r="RXB50" s="45"/>
      <c r="RXC50" s="45"/>
      <c r="RXD50" s="45"/>
      <c r="RXE50" s="45"/>
      <c r="RXF50" s="45"/>
      <c r="RXG50" s="45"/>
      <c r="RXH50" s="45"/>
      <c r="RXI50" s="45"/>
      <c r="RXJ50" s="45"/>
      <c r="RXK50" s="45"/>
      <c r="RXL50" s="45"/>
      <c r="RXM50" s="45"/>
      <c r="RXN50" s="45"/>
      <c r="RXO50" s="45"/>
      <c r="RXP50" s="45"/>
      <c r="RXQ50" s="45"/>
      <c r="RXR50" s="45"/>
      <c r="RXS50" s="45"/>
      <c r="RXT50" s="45"/>
      <c r="RXU50" s="45"/>
      <c r="RXV50" s="45"/>
      <c r="RXW50" s="45"/>
      <c r="RXX50" s="45"/>
      <c r="RXY50" s="45"/>
      <c r="RXZ50" s="45"/>
      <c r="RYA50" s="45"/>
      <c r="RYB50" s="45"/>
      <c r="RYC50" s="45"/>
      <c r="RYD50" s="45"/>
      <c r="RYE50" s="45"/>
      <c r="RYF50" s="45"/>
      <c r="RYG50" s="45"/>
      <c r="RYH50" s="45"/>
      <c r="RYI50" s="45"/>
      <c r="RYJ50" s="45"/>
      <c r="RYK50" s="45"/>
      <c r="RYL50" s="45"/>
      <c r="RYM50" s="45"/>
      <c r="RYN50" s="45"/>
      <c r="RYO50" s="45"/>
      <c r="RYP50" s="45"/>
      <c r="RYQ50" s="45"/>
      <c r="RYR50" s="45"/>
      <c r="RYS50" s="45"/>
      <c r="RYT50" s="45"/>
      <c r="RYU50" s="45"/>
      <c r="RYV50" s="45"/>
      <c r="RYW50" s="45"/>
      <c r="RYX50" s="45"/>
      <c r="RYY50" s="45"/>
      <c r="RYZ50" s="45"/>
      <c r="RZA50" s="45"/>
      <c r="RZB50" s="45"/>
      <c r="RZC50" s="45"/>
      <c r="RZD50" s="45"/>
      <c r="RZE50" s="45"/>
      <c r="RZF50" s="45"/>
      <c r="RZG50" s="45"/>
      <c r="RZH50" s="45"/>
      <c r="RZI50" s="45"/>
      <c r="RZJ50" s="45"/>
      <c r="RZK50" s="45"/>
      <c r="RZL50" s="45"/>
      <c r="RZM50" s="45"/>
      <c r="RZN50" s="45"/>
      <c r="RZO50" s="45"/>
      <c r="RZP50" s="45"/>
      <c r="RZQ50" s="45"/>
      <c r="RZR50" s="45"/>
      <c r="RZS50" s="45"/>
      <c r="RZT50" s="45"/>
      <c r="RZU50" s="45"/>
      <c r="RZV50" s="45"/>
      <c r="RZW50" s="45"/>
      <c r="RZX50" s="45"/>
      <c r="RZY50" s="45"/>
      <c r="RZZ50" s="45"/>
      <c r="SAA50" s="45"/>
      <c r="SAB50" s="45"/>
      <c r="SAC50" s="45"/>
      <c r="SAD50" s="45"/>
      <c r="SAE50" s="45"/>
      <c r="SAF50" s="45"/>
      <c r="SAG50" s="45"/>
      <c r="SAH50" s="45"/>
      <c r="SAI50" s="45"/>
      <c r="SAJ50" s="45"/>
      <c r="SAK50" s="45"/>
      <c r="SAL50" s="45"/>
      <c r="SAM50" s="45"/>
      <c r="SAN50" s="45"/>
      <c r="SAO50" s="45"/>
      <c r="SAP50" s="45"/>
      <c r="SAQ50" s="45"/>
      <c r="SAR50" s="45"/>
      <c r="SAS50" s="45"/>
      <c r="SAT50" s="45"/>
      <c r="SAU50" s="45"/>
      <c r="SAV50" s="45"/>
      <c r="SAW50" s="45"/>
      <c r="SAX50" s="45"/>
      <c r="SAY50" s="45"/>
      <c r="SAZ50" s="45"/>
      <c r="SBA50" s="45"/>
      <c r="SBB50" s="45"/>
      <c r="SBC50" s="45"/>
      <c r="SBD50" s="45"/>
      <c r="SBE50" s="45"/>
      <c r="SBF50" s="45"/>
      <c r="SBG50" s="45"/>
      <c r="SBH50" s="45"/>
      <c r="SBI50" s="45"/>
      <c r="SBJ50" s="45"/>
      <c r="SBK50" s="45"/>
      <c r="SBL50" s="45"/>
      <c r="SBM50" s="45"/>
      <c r="SBN50" s="45"/>
      <c r="SBO50" s="45"/>
      <c r="SBP50" s="45"/>
      <c r="SBQ50" s="45"/>
      <c r="SBR50" s="45"/>
      <c r="SBS50" s="45"/>
      <c r="SBT50" s="45"/>
      <c r="SBU50" s="45"/>
      <c r="SBV50" s="45"/>
      <c r="SBW50" s="45"/>
      <c r="SBX50" s="45"/>
      <c r="SBY50" s="45"/>
      <c r="SBZ50" s="45"/>
      <c r="SCA50" s="45"/>
      <c r="SCB50" s="45"/>
      <c r="SCC50" s="45"/>
      <c r="SCD50" s="45"/>
      <c r="SCE50" s="45"/>
      <c r="SCF50" s="45"/>
      <c r="SCG50" s="45"/>
      <c r="SCH50" s="45"/>
      <c r="SCI50" s="45"/>
      <c r="SCJ50" s="45"/>
      <c r="SCK50" s="45"/>
      <c r="SCL50" s="45"/>
      <c r="SCM50" s="45"/>
      <c r="SCN50" s="45"/>
      <c r="SCO50" s="45"/>
      <c r="SCP50" s="45"/>
      <c r="SCQ50" s="45"/>
      <c r="SCR50" s="45"/>
      <c r="SCS50" s="45"/>
      <c r="SCT50" s="45"/>
      <c r="SCU50" s="45"/>
      <c r="SCV50" s="45"/>
      <c r="SCW50" s="45"/>
      <c r="SCX50" s="45"/>
      <c r="SCY50" s="45"/>
      <c r="SCZ50" s="45"/>
      <c r="SDA50" s="45"/>
      <c r="SDB50" s="45"/>
      <c r="SDC50" s="45"/>
      <c r="SDD50" s="45"/>
      <c r="SDE50" s="45"/>
      <c r="SDF50" s="45"/>
      <c r="SDG50" s="45"/>
      <c r="SDH50" s="45"/>
      <c r="SDI50" s="45"/>
      <c r="SDJ50" s="45"/>
      <c r="SDK50" s="45"/>
      <c r="SDL50" s="45"/>
      <c r="SDM50" s="45"/>
      <c r="SDN50" s="45"/>
      <c r="SDO50" s="45"/>
      <c r="SDP50" s="45"/>
      <c r="SDQ50" s="45"/>
      <c r="SDR50" s="45"/>
      <c r="SDS50" s="45"/>
      <c r="SDT50" s="45"/>
      <c r="SDU50" s="45"/>
      <c r="SDV50" s="45"/>
      <c r="SDW50" s="45"/>
      <c r="SDX50" s="45"/>
      <c r="SDY50" s="45"/>
      <c r="SDZ50" s="45"/>
      <c r="SEA50" s="45"/>
      <c r="SEB50" s="45"/>
      <c r="SEC50" s="45"/>
      <c r="SED50" s="45"/>
      <c r="SEE50" s="45"/>
      <c r="SEF50" s="45"/>
      <c r="SEG50" s="45"/>
      <c r="SEH50" s="45"/>
      <c r="SEI50" s="45"/>
      <c r="SEJ50" s="45"/>
      <c r="SEK50" s="45"/>
      <c r="SEL50" s="45"/>
      <c r="SEM50" s="45"/>
      <c r="SEN50" s="45"/>
      <c r="SEO50" s="45"/>
      <c r="SEP50" s="45"/>
      <c r="SEQ50" s="45"/>
      <c r="SER50" s="45"/>
      <c r="SES50" s="45"/>
      <c r="SET50" s="45"/>
      <c r="SEU50" s="45"/>
      <c r="SEV50" s="45"/>
      <c r="SEW50" s="45"/>
      <c r="SEX50" s="45"/>
      <c r="SEY50" s="45"/>
      <c r="SEZ50" s="45"/>
      <c r="SFA50" s="45"/>
      <c r="SFB50" s="45"/>
      <c r="SFC50" s="45"/>
      <c r="SFD50" s="45"/>
      <c r="SFE50" s="45"/>
      <c r="SFF50" s="45"/>
      <c r="SFG50" s="45"/>
      <c r="SFH50" s="45"/>
      <c r="SFI50" s="45"/>
      <c r="SFJ50" s="45"/>
      <c r="SFK50" s="45"/>
      <c r="SFL50" s="45"/>
      <c r="SFM50" s="45"/>
      <c r="SFN50" s="45"/>
      <c r="SFO50" s="45"/>
      <c r="SFP50" s="45"/>
      <c r="SFQ50" s="45"/>
      <c r="SFR50" s="45"/>
      <c r="SFS50" s="45"/>
      <c r="SFT50" s="45"/>
      <c r="SFU50" s="45"/>
      <c r="SFV50" s="45"/>
      <c r="SFW50" s="45"/>
      <c r="SFX50" s="45"/>
      <c r="SFY50" s="45"/>
      <c r="SFZ50" s="45"/>
      <c r="SGA50" s="45"/>
      <c r="SGB50" s="45"/>
      <c r="SGC50" s="45"/>
      <c r="SGD50" s="45"/>
      <c r="SGE50" s="45"/>
      <c r="SGF50" s="45"/>
      <c r="SGG50" s="45"/>
      <c r="SGH50" s="45"/>
      <c r="SGI50" s="45"/>
      <c r="SGJ50" s="45"/>
      <c r="SGK50" s="45"/>
      <c r="SGL50" s="45"/>
      <c r="SGM50" s="45"/>
      <c r="SGN50" s="45"/>
      <c r="SGO50" s="45"/>
      <c r="SGP50" s="45"/>
      <c r="SGQ50" s="45"/>
      <c r="SGR50" s="45"/>
      <c r="SGS50" s="45"/>
      <c r="SGT50" s="45"/>
      <c r="SGU50" s="45"/>
      <c r="SGV50" s="45"/>
      <c r="SGW50" s="45"/>
      <c r="SGX50" s="45"/>
      <c r="SGY50" s="45"/>
      <c r="SGZ50" s="45"/>
      <c r="SHA50" s="45"/>
      <c r="SHB50" s="45"/>
      <c r="SHC50" s="45"/>
      <c r="SHD50" s="45"/>
      <c r="SHE50" s="45"/>
      <c r="SHF50" s="45"/>
      <c r="SHG50" s="45"/>
      <c r="SHH50" s="45"/>
      <c r="SHI50" s="45"/>
      <c r="SHJ50" s="45"/>
      <c r="SHK50" s="45"/>
      <c r="SHL50" s="45"/>
      <c r="SHM50" s="45"/>
      <c r="SHN50" s="45"/>
      <c r="SHO50" s="45"/>
      <c r="SHP50" s="45"/>
      <c r="SHQ50" s="45"/>
      <c r="SHR50" s="45"/>
      <c r="SHS50" s="45"/>
      <c r="SHT50" s="45"/>
      <c r="SHU50" s="45"/>
      <c r="SHV50" s="45"/>
      <c r="SHW50" s="45"/>
      <c r="SHX50" s="45"/>
      <c r="SHY50" s="45"/>
      <c r="SHZ50" s="45"/>
      <c r="SIA50" s="45"/>
      <c r="SIB50" s="45"/>
      <c r="SIC50" s="45"/>
      <c r="SID50" s="45"/>
      <c r="SIE50" s="45"/>
      <c r="SIF50" s="45"/>
      <c r="SIG50" s="45"/>
      <c r="SIH50" s="45"/>
      <c r="SII50" s="45"/>
      <c r="SIJ50" s="45"/>
      <c r="SIK50" s="45"/>
      <c r="SIL50" s="45"/>
      <c r="SIM50" s="45"/>
      <c r="SIN50" s="45"/>
      <c r="SIO50" s="45"/>
      <c r="SIP50" s="45"/>
      <c r="SIQ50" s="45"/>
      <c r="SIR50" s="45"/>
      <c r="SIS50" s="45"/>
      <c r="SIT50" s="45"/>
      <c r="SIU50" s="45"/>
      <c r="SIV50" s="45"/>
      <c r="SIW50" s="45"/>
      <c r="SIX50" s="45"/>
      <c r="SIY50" s="45"/>
      <c r="SIZ50" s="45"/>
      <c r="SJA50" s="45"/>
      <c r="SJB50" s="45"/>
      <c r="SJC50" s="45"/>
      <c r="SJD50" s="45"/>
      <c r="SJE50" s="45"/>
      <c r="SJF50" s="45"/>
      <c r="SJG50" s="45"/>
      <c r="SJH50" s="45"/>
      <c r="SJI50" s="45"/>
      <c r="SJJ50" s="45"/>
      <c r="SJK50" s="45"/>
      <c r="SJL50" s="45"/>
      <c r="SJM50" s="45"/>
      <c r="SJN50" s="45"/>
      <c r="SJO50" s="45"/>
      <c r="SJP50" s="45"/>
      <c r="SJQ50" s="45"/>
      <c r="SJR50" s="45"/>
      <c r="SJS50" s="45"/>
      <c r="SJT50" s="45"/>
      <c r="SJU50" s="45"/>
      <c r="SJV50" s="45"/>
      <c r="SJW50" s="45"/>
      <c r="SJX50" s="45"/>
      <c r="SJY50" s="45"/>
      <c r="SJZ50" s="45"/>
      <c r="SKA50" s="45"/>
      <c r="SKB50" s="45"/>
      <c r="SKC50" s="45"/>
      <c r="SKD50" s="45"/>
      <c r="SKE50" s="45"/>
      <c r="SKF50" s="45"/>
      <c r="SKG50" s="45"/>
      <c r="SKH50" s="45"/>
      <c r="SKI50" s="45"/>
      <c r="SKJ50" s="45"/>
      <c r="SKK50" s="45"/>
      <c r="SKL50" s="45"/>
      <c r="SKM50" s="45"/>
      <c r="SKN50" s="45"/>
      <c r="SKO50" s="45"/>
      <c r="SKP50" s="45"/>
      <c r="SKQ50" s="45"/>
      <c r="SKR50" s="45"/>
      <c r="SKS50" s="45"/>
      <c r="SKT50" s="45"/>
      <c r="SKU50" s="45"/>
      <c r="SKV50" s="45"/>
      <c r="SKW50" s="45"/>
      <c r="SKX50" s="45"/>
      <c r="SKY50" s="45"/>
      <c r="SKZ50" s="45"/>
      <c r="SLA50" s="45"/>
      <c r="SLB50" s="45"/>
      <c r="SLC50" s="45"/>
      <c r="SLD50" s="45"/>
      <c r="SLE50" s="45"/>
      <c r="SLF50" s="45"/>
      <c r="SLG50" s="45"/>
      <c r="SLH50" s="45"/>
      <c r="SLI50" s="45"/>
      <c r="SLJ50" s="45"/>
      <c r="SLK50" s="45"/>
      <c r="SLL50" s="45"/>
      <c r="SLM50" s="45"/>
      <c r="SLN50" s="45"/>
      <c r="SLO50" s="45"/>
      <c r="SLP50" s="45"/>
      <c r="SLQ50" s="45"/>
      <c r="SLR50" s="45"/>
      <c r="SLS50" s="45"/>
      <c r="SLT50" s="45"/>
      <c r="SLU50" s="45"/>
      <c r="SLV50" s="45"/>
      <c r="SLW50" s="45"/>
      <c r="SLX50" s="45"/>
      <c r="SLY50" s="45"/>
      <c r="SLZ50" s="45"/>
      <c r="SMA50" s="45"/>
      <c r="SMB50" s="45"/>
      <c r="SMC50" s="45"/>
      <c r="SMD50" s="45"/>
      <c r="SME50" s="45"/>
      <c r="SMF50" s="45"/>
      <c r="SMG50" s="45"/>
      <c r="SMH50" s="45"/>
      <c r="SMI50" s="45"/>
      <c r="SMJ50" s="45"/>
      <c r="SMK50" s="45"/>
      <c r="SML50" s="45"/>
      <c r="SMM50" s="45"/>
      <c r="SMN50" s="45"/>
      <c r="SMO50" s="45"/>
      <c r="SMP50" s="45"/>
      <c r="SMQ50" s="45"/>
      <c r="SMR50" s="45"/>
      <c r="SMS50" s="45"/>
      <c r="SMT50" s="45"/>
      <c r="SMU50" s="45"/>
      <c r="SMV50" s="45"/>
      <c r="SMW50" s="45"/>
      <c r="SMX50" s="45"/>
      <c r="SMY50" s="45"/>
      <c r="SMZ50" s="45"/>
      <c r="SNA50" s="45"/>
      <c r="SNB50" s="45"/>
      <c r="SNC50" s="45"/>
      <c r="SND50" s="45"/>
      <c r="SNE50" s="45"/>
      <c r="SNF50" s="45"/>
      <c r="SNG50" s="45"/>
      <c r="SNH50" s="45"/>
      <c r="SNI50" s="45"/>
      <c r="SNJ50" s="45"/>
      <c r="SNK50" s="45"/>
      <c r="SNL50" s="45"/>
      <c r="SNM50" s="45"/>
      <c r="SNN50" s="45"/>
      <c r="SNO50" s="45"/>
      <c r="SNP50" s="45"/>
      <c r="SNQ50" s="45"/>
      <c r="SNR50" s="45"/>
      <c r="SNS50" s="45"/>
      <c r="SNT50" s="45"/>
      <c r="SNU50" s="45"/>
      <c r="SNV50" s="45"/>
      <c r="SNW50" s="45"/>
      <c r="SNX50" s="45"/>
      <c r="SNY50" s="45"/>
      <c r="SNZ50" s="45"/>
      <c r="SOA50" s="45"/>
      <c r="SOB50" s="45"/>
      <c r="SOC50" s="45"/>
      <c r="SOD50" s="45"/>
      <c r="SOE50" s="45"/>
      <c r="SOF50" s="45"/>
      <c r="SOG50" s="45"/>
      <c r="SOH50" s="45"/>
      <c r="SOI50" s="45"/>
      <c r="SOJ50" s="45"/>
      <c r="SOK50" s="45"/>
      <c r="SOL50" s="45"/>
      <c r="SOM50" s="45"/>
      <c r="SON50" s="45"/>
      <c r="SOO50" s="45"/>
      <c r="SOP50" s="45"/>
      <c r="SOQ50" s="45"/>
      <c r="SOR50" s="45"/>
      <c r="SOS50" s="45"/>
      <c r="SOT50" s="45"/>
      <c r="SOU50" s="45"/>
      <c r="SOV50" s="45"/>
      <c r="SOW50" s="45"/>
      <c r="SOX50" s="45"/>
      <c r="SOY50" s="45"/>
      <c r="SOZ50" s="45"/>
      <c r="SPA50" s="45"/>
      <c r="SPB50" s="45"/>
      <c r="SPC50" s="45"/>
      <c r="SPD50" s="45"/>
      <c r="SPE50" s="45"/>
      <c r="SPF50" s="45"/>
      <c r="SPG50" s="45"/>
      <c r="SPH50" s="45"/>
      <c r="SPI50" s="45"/>
      <c r="SPJ50" s="45"/>
      <c r="SPK50" s="45"/>
      <c r="SPL50" s="45"/>
      <c r="SPM50" s="45"/>
      <c r="SPN50" s="45"/>
      <c r="SPO50" s="45"/>
      <c r="SPP50" s="45"/>
      <c r="SPQ50" s="45"/>
      <c r="SPR50" s="45"/>
      <c r="SPS50" s="45"/>
      <c r="SPT50" s="45"/>
      <c r="SPU50" s="45"/>
      <c r="SPV50" s="45"/>
      <c r="SPW50" s="45"/>
      <c r="SPX50" s="45"/>
      <c r="SPY50" s="45"/>
      <c r="SPZ50" s="45"/>
      <c r="SQA50" s="45"/>
      <c r="SQB50" s="45"/>
      <c r="SQC50" s="45"/>
      <c r="SQD50" s="45"/>
      <c r="SQE50" s="45"/>
      <c r="SQF50" s="45"/>
      <c r="SQG50" s="45"/>
      <c r="SQH50" s="45"/>
      <c r="SQI50" s="45"/>
      <c r="SQJ50" s="45"/>
      <c r="SQK50" s="45"/>
      <c r="SQL50" s="45"/>
      <c r="SQM50" s="45"/>
      <c r="SQN50" s="45"/>
      <c r="SQO50" s="45"/>
      <c r="SQP50" s="45"/>
      <c r="SQQ50" s="45"/>
      <c r="SQR50" s="45"/>
      <c r="SQS50" s="45"/>
      <c r="SQT50" s="45"/>
      <c r="SQU50" s="45"/>
      <c r="SQV50" s="45"/>
      <c r="SQW50" s="45"/>
      <c r="SQX50" s="45"/>
      <c r="SQY50" s="45"/>
      <c r="SQZ50" s="45"/>
      <c r="SRA50" s="45"/>
      <c r="SRB50" s="45"/>
      <c r="SRC50" s="45"/>
      <c r="SRD50" s="45"/>
      <c r="SRE50" s="45"/>
      <c r="SRF50" s="45"/>
      <c r="SRG50" s="45"/>
      <c r="SRH50" s="45"/>
      <c r="SRI50" s="45"/>
      <c r="SRJ50" s="45"/>
      <c r="SRK50" s="45"/>
      <c r="SRL50" s="45"/>
      <c r="SRM50" s="45"/>
      <c r="SRN50" s="45"/>
      <c r="SRO50" s="45"/>
      <c r="SRP50" s="45"/>
      <c r="SRQ50" s="45"/>
      <c r="SRR50" s="45"/>
      <c r="SRS50" s="45"/>
      <c r="SRT50" s="45"/>
      <c r="SRU50" s="45"/>
      <c r="SRV50" s="45"/>
      <c r="SRW50" s="45"/>
      <c r="SRX50" s="45"/>
      <c r="SRY50" s="45"/>
      <c r="SRZ50" s="45"/>
      <c r="SSA50" s="45"/>
      <c r="SSB50" s="45"/>
      <c r="SSC50" s="45"/>
      <c r="SSD50" s="45"/>
      <c r="SSE50" s="45"/>
      <c r="SSF50" s="45"/>
      <c r="SSG50" s="45"/>
      <c r="SSH50" s="45"/>
      <c r="SSI50" s="45"/>
      <c r="SSJ50" s="45"/>
      <c r="SSK50" s="45"/>
      <c r="SSL50" s="45"/>
      <c r="SSM50" s="45"/>
      <c r="SSN50" s="45"/>
      <c r="SSO50" s="45"/>
      <c r="SSP50" s="45"/>
      <c r="SSQ50" s="45"/>
      <c r="SSR50" s="45"/>
      <c r="SSS50" s="45"/>
      <c r="SST50" s="45"/>
      <c r="SSU50" s="45"/>
      <c r="SSV50" s="45"/>
      <c r="SSW50" s="45"/>
      <c r="SSX50" s="45"/>
      <c r="SSY50" s="45"/>
      <c r="SSZ50" s="45"/>
      <c r="STA50" s="45"/>
      <c r="STB50" s="45"/>
      <c r="STC50" s="45"/>
      <c r="STD50" s="45"/>
      <c r="STE50" s="45"/>
      <c r="STF50" s="45"/>
      <c r="STG50" s="45"/>
      <c r="STH50" s="45"/>
      <c r="STI50" s="45"/>
      <c r="STJ50" s="45"/>
      <c r="STK50" s="45"/>
      <c r="STL50" s="45"/>
      <c r="STM50" s="45"/>
      <c r="STN50" s="45"/>
      <c r="STO50" s="45"/>
      <c r="STP50" s="45"/>
      <c r="STQ50" s="45"/>
      <c r="STR50" s="45"/>
      <c r="STS50" s="45"/>
      <c r="STT50" s="45"/>
      <c r="STU50" s="45"/>
      <c r="STV50" s="45"/>
      <c r="STW50" s="45"/>
      <c r="STX50" s="45"/>
      <c r="STY50" s="45"/>
      <c r="STZ50" s="45"/>
      <c r="SUA50" s="45"/>
      <c r="SUB50" s="45"/>
      <c r="SUC50" s="45"/>
      <c r="SUD50" s="45"/>
      <c r="SUE50" s="45"/>
      <c r="SUF50" s="45"/>
      <c r="SUG50" s="45"/>
      <c r="SUH50" s="45"/>
      <c r="SUI50" s="45"/>
      <c r="SUJ50" s="45"/>
      <c r="SUK50" s="45"/>
      <c r="SUL50" s="45"/>
      <c r="SUM50" s="45"/>
      <c r="SUN50" s="45"/>
      <c r="SUO50" s="45"/>
      <c r="SUP50" s="45"/>
      <c r="SUQ50" s="45"/>
      <c r="SUR50" s="45"/>
      <c r="SUS50" s="45"/>
      <c r="SUT50" s="45"/>
      <c r="SUU50" s="45"/>
      <c r="SUV50" s="45"/>
      <c r="SUW50" s="45"/>
      <c r="SUX50" s="45"/>
      <c r="SUY50" s="45"/>
      <c r="SUZ50" s="45"/>
      <c r="SVA50" s="45"/>
      <c r="SVB50" s="45"/>
      <c r="SVC50" s="45"/>
      <c r="SVD50" s="45"/>
      <c r="SVE50" s="45"/>
      <c r="SVF50" s="45"/>
      <c r="SVG50" s="45"/>
      <c r="SVH50" s="45"/>
      <c r="SVI50" s="45"/>
      <c r="SVJ50" s="45"/>
      <c r="SVK50" s="45"/>
      <c r="SVL50" s="45"/>
      <c r="SVM50" s="45"/>
      <c r="SVN50" s="45"/>
      <c r="SVO50" s="45"/>
      <c r="SVP50" s="45"/>
      <c r="SVQ50" s="45"/>
      <c r="SVR50" s="45"/>
      <c r="SVS50" s="45"/>
      <c r="SVT50" s="45"/>
      <c r="SVU50" s="45"/>
      <c r="SVV50" s="45"/>
      <c r="SVW50" s="45"/>
      <c r="SVX50" s="45"/>
      <c r="SVY50" s="45"/>
      <c r="SVZ50" s="45"/>
      <c r="SWA50" s="45"/>
      <c r="SWB50" s="45"/>
      <c r="SWC50" s="45"/>
      <c r="SWD50" s="45"/>
      <c r="SWE50" s="45"/>
      <c r="SWF50" s="45"/>
      <c r="SWG50" s="45"/>
      <c r="SWH50" s="45"/>
      <c r="SWI50" s="45"/>
      <c r="SWJ50" s="45"/>
      <c r="SWK50" s="45"/>
      <c r="SWL50" s="45"/>
      <c r="SWM50" s="45"/>
      <c r="SWN50" s="45"/>
      <c r="SWO50" s="45"/>
      <c r="SWP50" s="45"/>
      <c r="SWQ50" s="45"/>
      <c r="SWR50" s="45"/>
      <c r="SWS50" s="45"/>
      <c r="SWT50" s="45"/>
      <c r="SWU50" s="45"/>
      <c r="SWV50" s="45"/>
      <c r="SWW50" s="45"/>
      <c r="SWX50" s="45"/>
      <c r="SWY50" s="45"/>
      <c r="SWZ50" s="45"/>
      <c r="SXA50" s="45"/>
      <c r="SXB50" s="45"/>
      <c r="SXC50" s="45"/>
      <c r="SXD50" s="45"/>
      <c r="SXE50" s="45"/>
      <c r="SXF50" s="45"/>
      <c r="SXG50" s="45"/>
      <c r="SXH50" s="45"/>
      <c r="SXI50" s="45"/>
      <c r="SXJ50" s="45"/>
      <c r="SXK50" s="45"/>
      <c r="SXL50" s="45"/>
      <c r="SXM50" s="45"/>
      <c r="SXN50" s="45"/>
      <c r="SXO50" s="45"/>
      <c r="SXP50" s="45"/>
      <c r="SXQ50" s="45"/>
      <c r="SXR50" s="45"/>
      <c r="SXS50" s="45"/>
      <c r="SXT50" s="45"/>
      <c r="SXU50" s="45"/>
      <c r="SXV50" s="45"/>
      <c r="SXW50" s="45"/>
      <c r="SXX50" s="45"/>
      <c r="SXY50" s="45"/>
      <c r="SXZ50" s="45"/>
      <c r="SYA50" s="45"/>
      <c r="SYB50" s="45"/>
      <c r="SYC50" s="45"/>
      <c r="SYD50" s="45"/>
      <c r="SYE50" s="45"/>
      <c r="SYF50" s="45"/>
      <c r="SYG50" s="45"/>
      <c r="SYH50" s="45"/>
      <c r="SYI50" s="45"/>
      <c r="SYJ50" s="45"/>
      <c r="SYK50" s="45"/>
      <c r="SYL50" s="45"/>
      <c r="SYM50" s="45"/>
      <c r="SYN50" s="45"/>
      <c r="SYO50" s="45"/>
      <c r="SYP50" s="45"/>
      <c r="SYQ50" s="45"/>
      <c r="SYR50" s="45"/>
      <c r="SYS50" s="45"/>
      <c r="SYT50" s="45"/>
      <c r="SYU50" s="45"/>
      <c r="SYV50" s="45"/>
      <c r="SYW50" s="45"/>
      <c r="SYX50" s="45"/>
      <c r="SYY50" s="45"/>
      <c r="SYZ50" s="45"/>
      <c r="SZA50" s="45"/>
      <c r="SZB50" s="45"/>
      <c r="SZC50" s="45"/>
      <c r="SZD50" s="45"/>
      <c r="SZE50" s="45"/>
      <c r="SZF50" s="45"/>
      <c r="SZG50" s="45"/>
      <c r="SZH50" s="45"/>
      <c r="SZI50" s="45"/>
      <c r="SZJ50" s="45"/>
      <c r="SZK50" s="45"/>
      <c r="SZL50" s="45"/>
      <c r="SZM50" s="45"/>
      <c r="SZN50" s="45"/>
      <c r="SZO50" s="45"/>
      <c r="SZP50" s="45"/>
      <c r="SZQ50" s="45"/>
      <c r="SZR50" s="45"/>
      <c r="SZS50" s="45"/>
      <c r="SZT50" s="45"/>
      <c r="SZU50" s="45"/>
      <c r="SZV50" s="45"/>
      <c r="SZW50" s="45"/>
      <c r="SZX50" s="45"/>
      <c r="SZY50" s="45"/>
      <c r="SZZ50" s="45"/>
      <c r="TAA50" s="45"/>
      <c r="TAB50" s="45"/>
      <c r="TAC50" s="45"/>
      <c r="TAD50" s="45"/>
      <c r="TAE50" s="45"/>
      <c r="TAF50" s="45"/>
      <c r="TAG50" s="45"/>
      <c r="TAH50" s="45"/>
      <c r="TAI50" s="45"/>
      <c r="TAJ50" s="45"/>
      <c r="TAK50" s="45"/>
      <c r="TAL50" s="45"/>
      <c r="TAM50" s="45"/>
      <c r="TAN50" s="45"/>
      <c r="TAO50" s="45"/>
      <c r="TAP50" s="45"/>
      <c r="TAQ50" s="45"/>
      <c r="TAR50" s="45"/>
      <c r="TAS50" s="45"/>
      <c r="TAT50" s="45"/>
      <c r="TAU50" s="45"/>
      <c r="TAV50" s="45"/>
      <c r="TAW50" s="45"/>
      <c r="TAX50" s="45"/>
      <c r="TAY50" s="45"/>
      <c r="TAZ50" s="45"/>
      <c r="TBA50" s="45"/>
      <c r="TBB50" s="45"/>
      <c r="TBC50" s="45"/>
      <c r="TBD50" s="45"/>
      <c r="TBE50" s="45"/>
      <c r="TBF50" s="45"/>
      <c r="TBG50" s="45"/>
      <c r="TBH50" s="45"/>
      <c r="TBI50" s="45"/>
      <c r="TBJ50" s="45"/>
      <c r="TBK50" s="45"/>
      <c r="TBL50" s="45"/>
      <c r="TBM50" s="45"/>
      <c r="TBN50" s="45"/>
      <c r="TBO50" s="45"/>
      <c r="TBP50" s="45"/>
      <c r="TBQ50" s="45"/>
      <c r="TBR50" s="45"/>
      <c r="TBS50" s="45"/>
      <c r="TBT50" s="45"/>
      <c r="TBU50" s="45"/>
      <c r="TBV50" s="45"/>
      <c r="TBW50" s="45"/>
      <c r="TBX50" s="45"/>
      <c r="TBY50" s="45"/>
      <c r="TBZ50" s="45"/>
      <c r="TCA50" s="45"/>
      <c r="TCB50" s="45"/>
      <c r="TCC50" s="45"/>
      <c r="TCD50" s="45"/>
      <c r="TCE50" s="45"/>
      <c r="TCF50" s="45"/>
      <c r="TCG50" s="45"/>
      <c r="TCH50" s="45"/>
      <c r="TCI50" s="45"/>
      <c r="TCJ50" s="45"/>
      <c r="TCK50" s="45"/>
      <c r="TCL50" s="45"/>
      <c r="TCM50" s="45"/>
      <c r="TCN50" s="45"/>
      <c r="TCO50" s="45"/>
      <c r="TCP50" s="45"/>
      <c r="TCQ50" s="45"/>
      <c r="TCR50" s="45"/>
      <c r="TCS50" s="45"/>
      <c r="TCT50" s="45"/>
      <c r="TCU50" s="45"/>
      <c r="TCV50" s="45"/>
      <c r="TCW50" s="45"/>
      <c r="TCX50" s="45"/>
      <c r="TCY50" s="45"/>
      <c r="TCZ50" s="45"/>
      <c r="TDA50" s="45"/>
      <c r="TDB50" s="45"/>
      <c r="TDC50" s="45"/>
      <c r="TDD50" s="45"/>
      <c r="TDE50" s="45"/>
      <c r="TDF50" s="45"/>
      <c r="TDG50" s="45"/>
      <c r="TDH50" s="45"/>
      <c r="TDI50" s="45"/>
      <c r="TDJ50" s="45"/>
      <c r="TDK50" s="45"/>
      <c r="TDL50" s="45"/>
      <c r="TDM50" s="45"/>
      <c r="TDN50" s="45"/>
      <c r="TDO50" s="45"/>
      <c r="TDP50" s="45"/>
      <c r="TDQ50" s="45"/>
      <c r="TDR50" s="45"/>
      <c r="TDS50" s="45"/>
      <c r="TDT50" s="45"/>
      <c r="TDU50" s="45"/>
      <c r="TDV50" s="45"/>
      <c r="TDW50" s="45"/>
      <c r="TDX50" s="45"/>
      <c r="TDY50" s="45"/>
      <c r="TDZ50" s="45"/>
      <c r="TEA50" s="45"/>
      <c r="TEB50" s="45"/>
      <c r="TEC50" s="45"/>
      <c r="TED50" s="45"/>
      <c r="TEE50" s="45"/>
      <c r="TEF50" s="45"/>
      <c r="TEG50" s="45"/>
      <c r="TEH50" s="45"/>
      <c r="TEI50" s="45"/>
      <c r="TEJ50" s="45"/>
      <c r="TEK50" s="45"/>
      <c r="TEL50" s="45"/>
      <c r="TEM50" s="45"/>
      <c r="TEN50" s="45"/>
      <c r="TEO50" s="45"/>
      <c r="TEP50" s="45"/>
      <c r="TEQ50" s="45"/>
      <c r="TER50" s="45"/>
      <c r="TES50" s="45"/>
      <c r="TET50" s="45"/>
      <c r="TEU50" s="45"/>
      <c r="TEV50" s="45"/>
      <c r="TEW50" s="45"/>
      <c r="TEX50" s="45"/>
      <c r="TEY50" s="45"/>
      <c r="TEZ50" s="45"/>
      <c r="TFA50" s="45"/>
      <c r="TFB50" s="45"/>
      <c r="TFC50" s="45"/>
      <c r="TFD50" s="45"/>
      <c r="TFE50" s="45"/>
      <c r="TFF50" s="45"/>
      <c r="TFG50" s="45"/>
      <c r="TFH50" s="45"/>
      <c r="TFI50" s="45"/>
      <c r="TFJ50" s="45"/>
      <c r="TFK50" s="45"/>
      <c r="TFL50" s="45"/>
      <c r="TFM50" s="45"/>
      <c r="TFN50" s="45"/>
      <c r="TFO50" s="45"/>
      <c r="TFP50" s="45"/>
      <c r="TFQ50" s="45"/>
      <c r="TFR50" s="45"/>
      <c r="TFS50" s="45"/>
      <c r="TFT50" s="45"/>
      <c r="TFU50" s="45"/>
      <c r="TFV50" s="45"/>
      <c r="TFW50" s="45"/>
      <c r="TFX50" s="45"/>
      <c r="TFY50" s="45"/>
      <c r="TFZ50" s="45"/>
      <c r="TGA50" s="45"/>
      <c r="TGB50" s="45"/>
      <c r="TGC50" s="45"/>
      <c r="TGD50" s="45"/>
      <c r="TGE50" s="45"/>
      <c r="TGF50" s="45"/>
      <c r="TGG50" s="45"/>
      <c r="TGH50" s="45"/>
      <c r="TGI50" s="45"/>
      <c r="TGJ50" s="45"/>
      <c r="TGK50" s="45"/>
      <c r="TGL50" s="45"/>
      <c r="TGM50" s="45"/>
      <c r="TGN50" s="45"/>
      <c r="TGO50" s="45"/>
      <c r="TGP50" s="45"/>
      <c r="TGQ50" s="45"/>
      <c r="TGR50" s="45"/>
      <c r="TGS50" s="45"/>
      <c r="TGT50" s="45"/>
      <c r="TGU50" s="45"/>
      <c r="TGV50" s="45"/>
      <c r="TGW50" s="45"/>
      <c r="TGX50" s="45"/>
      <c r="TGY50" s="45"/>
      <c r="TGZ50" s="45"/>
      <c r="THA50" s="45"/>
      <c r="THB50" s="45"/>
      <c r="THC50" s="45"/>
      <c r="THD50" s="45"/>
      <c r="THE50" s="45"/>
      <c r="THF50" s="45"/>
      <c r="THG50" s="45"/>
      <c r="THH50" s="45"/>
      <c r="THI50" s="45"/>
      <c r="THJ50" s="45"/>
      <c r="THK50" s="45"/>
      <c r="THL50" s="45"/>
      <c r="THM50" s="45"/>
      <c r="THN50" s="45"/>
      <c r="THO50" s="45"/>
      <c r="THP50" s="45"/>
      <c r="THQ50" s="45"/>
      <c r="THR50" s="45"/>
      <c r="THS50" s="45"/>
      <c r="THT50" s="45"/>
      <c r="THU50" s="45"/>
      <c r="THV50" s="45"/>
      <c r="THW50" s="45"/>
      <c r="THX50" s="45"/>
      <c r="THY50" s="45"/>
      <c r="THZ50" s="45"/>
      <c r="TIA50" s="45"/>
      <c r="TIB50" s="45"/>
      <c r="TIC50" s="45"/>
      <c r="TID50" s="45"/>
      <c r="TIE50" s="45"/>
      <c r="TIF50" s="45"/>
      <c r="TIG50" s="45"/>
      <c r="TIH50" s="45"/>
      <c r="TII50" s="45"/>
      <c r="TIJ50" s="45"/>
      <c r="TIK50" s="45"/>
      <c r="TIL50" s="45"/>
      <c r="TIM50" s="45"/>
      <c r="TIN50" s="45"/>
      <c r="TIO50" s="45"/>
      <c r="TIP50" s="45"/>
      <c r="TIQ50" s="45"/>
      <c r="TIR50" s="45"/>
      <c r="TIS50" s="45"/>
      <c r="TIT50" s="45"/>
      <c r="TIU50" s="45"/>
      <c r="TIV50" s="45"/>
      <c r="TIW50" s="45"/>
      <c r="TIX50" s="45"/>
      <c r="TIY50" s="45"/>
      <c r="TIZ50" s="45"/>
      <c r="TJA50" s="45"/>
      <c r="TJB50" s="45"/>
      <c r="TJC50" s="45"/>
      <c r="TJD50" s="45"/>
      <c r="TJE50" s="45"/>
      <c r="TJF50" s="45"/>
      <c r="TJG50" s="45"/>
      <c r="TJH50" s="45"/>
      <c r="TJI50" s="45"/>
      <c r="TJJ50" s="45"/>
      <c r="TJK50" s="45"/>
      <c r="TJL50" s="45"/>
      <c r="TJM50" s="45"/>
      <c r="TJN50" s="45"/>
      <c r="TJO50" s="45"/>
      <c r="TJP50" s="45"/>
      <c r="TJQ50" s="45"/>
      <c r="TJR50" s="45"/>
      <c r="TJS50" s="45"/>
      <c r="TJT50" s="45"/>
      <c r="TJU50" s="45"/>
      <c r="TJV50" s="45"/>
      <c r="TJW50" s="45"/>
      <c r="TJX50" s="45"/>
      <c r="TJY50" s="45"/>
      <c r="TJZ50" s="45"/>
      <c r="TKA50" s="45"/>
      <c r="TKB50" s="45"/>
      <c r="TKC50" s="45"/>
      <c r="TKD50" s="45"/>
      <c r="TKE50" s="45"/>
      <c r="TKF50" s="45"/>
      <c r="TKG50" s="45"/>
      <c r="TKH50" s="45"/>
      <c r="TKI50" s="45"/>
      <c r="TKJ50" s="45"/>
      <c r="TKK50" s="45"/>
      <c r="TKL50" s="45"/>
      <c r="TKM50" s="45"/>
      <c r="TKN50" s="45"/>
      <c r="TKO50" s="45"/>
      <c r="TKP50" s="45"/>
      <c r="TKQ50" s="45"/>
      <c r="TKR50" s="45"/>
      <c r="TKS50" s="45"/>
      <c r="TKT50" s="45"/>
      <c r="TKU50" s="45"/>
      <c r="TKV50" s="45"/>
      <c r="TKW50" s="45"/>
      <c r="TKX50" s="45"/>
      <c r="TKY50" s="45"/>
      <c r="TKZ50" s="45"/>
      <c r="TLA50" s="45"/>
      <c r="TLB50" s="45"/>
      <c r="TLC50" s="45"/>
      <c r="TLD50" s="45"/>
      <c r="TLE50" s="45"/>
      <c r="TLF50" s="45"/>
      <c r="TLG50" s="45"/>
      <c r="TLH50" s="45"/>
      <c r="TLI50" s="45"/>
      <c r="TLJ50" s="45"/>
      <c r="TLK50" s="45"/>
      <c r="TLL50" s="45"/>
      <c r="TLM50" s="45"/>
      <c r="TLN50" s="45"/>
      <c r="TLO50" s="45"/>
      <c r="TLP50" s="45"/>
      <c r="TLQ50" s="45"/>
      <c r="TLR50" s="45"/>
      <c r="TLS50" s="45"/>
      <c r="TLT50" s="45"/>
      <c r="TLU50" s="45"/>
      <c r="TLV50" s="45"/>
      <c r="TLW50" s="45"/>
      <c r="TLX50" s="45"/>
      <c r="TLY50" s="45"/>
      <c r="TLZ50" s="45"/>
      <c r="TMA50" s="45"/>
      <c r="TMB50" s="45"/>
      <c r="TMC50" s="45"/>
      <c r="TMD50" s="45"/>
      <c r="TME50" s="45"/>
      <c r="TMF50" s="45"/>
      <c r="TMG50" s="45"/>
      <c r="TMH50" s="45"/>
      <c r="TMI50" s="45"/>
      <c r="TMJ50" s="45"/>
      <c r="TMK50" s="45"/>
      <c r="TML50" s="45"/>
      <c r="TMM50" s="45"/>
      <c r="TMN50" s="45"/>
      <c r="TMO50" s="45"/>
      <c r="TMP50" s="45"/>
      <c r="TMQ50" s="45"/>
      <c r="TMR50" s="45"/>
      <c r="TMS50" s="45"/>
      <c r="TMT50" s="45"/>
      <c r="TMU50" s="45"/>
      <c r="TMV50" s="45"/>
      <c r="TMW50" s="45"/>
      <c r="TMX50" s="45"/>
      <c r="TMY50" s="45"/>
      <c r="TMZ50" s="45"/>
      <c r="TNA50" s="45"/>
      <c r="TNB50" s="45"/>
      <c r="TNC50" s="45"/>
      <c r="TND50" s="45"/>
      <c r="TNE50" s="45"/>
      <c r="TNF50" s="45"/>
      <c r="TNG50" s="45"/>
      <c r="TNH50" s="45"/>
      <c r="TNI50" s="45"/>
      <c r="TNJ50" s="45"/>
      <c r="TNK50" s="45"/>
      <c r="TNL50" s="45"/>
      <c r="TNM50" s="45"/>
      <c r="TNN50" s="45"/>
      <c r="TNO50" s="45"/>
      <c r="TNP50" s="45"/>
      <c r="TNQ50" s="45"/>
      <c r="TNR50" s="45"/>
      <c r="TNS50" s="45"/>
      <c r="TNT50" s="45"/>
      <c r="TNU50" s="45"/>
      <c r="TNV50" s="45"/>
      <c r="TNW50" s="45"/>
      <c r="TNX50" s="45"/>
      <c r="TNY50" s="45"/>
      <c r="TNZ50" s="45"/>
      <c r="TOA50" s="45"/>
      <c r="TOB50" s="45"/>
      <c r="TOC50" s="45"/>
      <c r="TOD50" s="45"/>
      <c r="TOE50" s="45"/>
      <c r="TOF50" s="45"/>
      <c r="TOG50" s="45"/>
      <c r="TOH50" s="45"/>
      <c r="TOI50" s="45"/>
      <c r="TOJ50" s="45"/>
      <c r="TOK50" s="45"/>
      <c r="TOL50" s="45"/>
      <c r="TOM50" s="45"/>
      <c r="TON50" s="45"/>
      <c r="TOO50" s="45"/>
      <c r="TOP50" s="45"/>
      <c r="TOQ50" s="45"/>
      <c r="TOR50" s="45"/>
      <c r="TOS50" s="45"/>
      <c r="TOT50" s="45"/>
      <c r="TOU50" s="45"/>
      <c r="TOV50" s="45"/>
      <c r="TOW50" s="45"/>
      <c r="TOX50" s="45"/>
      <c r="TOY50" s="45"/>
      <c r="TOZ50" s="45"/>
      <c r="TPA50" s="45"/>
      <c r="TPB50" s="45"/>
      <c r="TPC50" s="45"/>
      <c r="TPD50" s="45"/>
      <c r="TPE50" s="45"/>
      <c r="TPF50" s="45"/>
      <c r="TPG50" s="45"/>
      <c r="TPH50" s="45"/>
      <c r="TPI50" s="45"/>
      <c r="TPJ50" s="45"/>
      <c r="TPK50" s="45"/>
      <c r="TPL50" s="45"/>
      <c r="TPM50" s="45"/>
      <c r="TPN50" s="45"/>
      <c r="TPO50" s="45"/>
      <c r="TPP50" s="45"/>
      <c r="TPQ50" s="45"/>
      <c r="TPR50" s="45"/>
      <c r="TPS50" s="45"/>
      <c r="TPT50" s="45"/>
      <c r="TPU50" s="45"/>
      <c r="TPV50" s="45"/>
      <c r="TPW50" s="45"/>
      <c r="TPX50" s="45"/>
      <c r="TPY50" s="45"/>
      <c r="TPZ50" s="45"/>
      <c r="TQA50" s="45"/>
      <c r="TQB50" s="45"/>
      <c r="TQC50" s="45"/>
      <c r="TQD50" s="45"/>
      <c r="TQE50" s="45"/>
      <c r="TQF50" s="45"/>
      <c r="TQG50" s="45"/>
      <c r="TQH50" s="45"/>
      <c r="TQI50" s="45"/>
      <c r="TQJ50" s="45"/>
      <c r="TQK50" s="45"/>
      <c r="TQL50" s="45"/>
      <c r="TQM50" s="45"/>
      <c r="TQN50" s="45"/>
      <c r="TQO50" s="45"/>
      <c r="TQP50" s="45"/>
      <c r="TQQ50" s="45"/>
      <c r="TQR50" s="45"/>
      <c r="TQS50" s="45"/>
      <c r="TQT50" s="45"/>
      <c r="TQU50" s="45"/>
      <c r="TQV50" s="45"/>
      <c r="TQW50" s="45"/>
      <c r="TQX50" s="45"/>
      <c r="TQY50" s="45"/>
      <c r="TQZ50" s="45"/>
      <c r="TRA50" s="45"/>
      <c r="TRB50" s="45"/>
      <c r="TRC50" s="45"/>
      <c r="TRD50" s="45"/>
      <c r="TRE50" s="45"/>
      <c r="TRF50" s="45"/>
      <c r="TRG50" s="45"/>
      <c r="TRH50" s="45"/>
      <c r="TRI50" s="45"/>
      <c r="TRJ50" s="45"/>
      <c r="TRK50" s="45"/>
      <c r="TRL50" s="45"/>
      <c r="TRM50" s="45"/>
      <c r="TRN50" s="45"/>
      <c r="TRO50" s="45"/>
      <c r="TRP50" s="45"/>
      <c r="TRQ50" s="45"/>
      <c r="TRR50" s="45"/>
      <c r="TRS50" s="45"/>
      <c r="TRT50" s="45"/>
      <c r="TRU50" s="45"/>
      <c r="TRV50" s="45"/>
      <c r="TRW50" s="45"/>
      <c r="TRX50" s="45"/>
      <c r="TRY50" s="45"/>
      <c r="TRZ50" s="45"/>
      <c r="TSA50" s="45"/>
      <c r="TSB50" s="45"/>
      <c r="TSC50" s="45"/>
      <c r="TSD50" s="45"/>
      <c r="TSE50" s="45"/>
      <c r="TSF50" s="45"/>
      <c r="TSG50" s="45"/>
      <c r="TSH50" s="45"/>
      <c r="TSI50" s="45"/>
      <c r="TSJ50" s="45"/>
      <c r="TSK50" s="45"/>
      <c r="TSL50" s="45"/>
      <c r="TSM50" s="45"/>
      <c r="TSN50" s="45"/>
      <c r="TSO50" s="45"/>
      <c r="TSP50" s="45"/>
      <c r="TSQ50" s="45"/>
      <c r="TSR50" s="45"/>
      <c r="TSS50" s="45"/>
      <c r="TST50" s="45"/>
      <c r="TSU50" s="45"/>
      <c r="TSV50" s="45"/>
      <c r="TSW50" s="45"/>
      <c r="TSX50" s="45"/>
      <c r="TSY50" s="45"/>
      <c r="TSZ50" s="45"/>
      <c r="TTA50" s="45"/>
      <c r="TTB50" s="45"/>
      <c r="TTC50" s="45"/>
      <c r="TTD50" s="45"/>
      <c r="TTE50" s="45"/>
      <c r="TTF50" s="45"/>
      <c r="TTG50" s="45"/>
      <c r="TTH50" s="45"/>
      <c r="TTI50" s="45"/>
      <c r="TTJ50" s="45"/>
      <c r="TTK50" s="45"/>
      <c r="TTL50" s="45"/>
      <c r="TTM50" s="45"/>
      <c r="TTN50" s="45"/>
      <c r="TTO50" s="45"/>
      <c r="TTP50" s="45"/>
      <c r="TTQ50" s="45"/>
      <c r="TTR50" s="45"/>
      <c r="TTS50" s="45"/>
      <c r="TTT50" s="45"/>
      <c r="TTU50" s="45"/>
      <c r="TTV50" s="45"/>
      <c r="TTW50" s="45"/>
      <c r="TTX50" s="45"/>
      <c r="TTY50" s="45"/>
      <c r="TTZ50" s="45"/>
      <c r="TUA50" s="45"/>
      <c r="TUB50" s="45"/>
      <c r="TUC50" s="45"/>
      <c r="TUD50" s="45"/>
      <c r="TUE50" s="45"/>
      <c r="TUF50" s="45"/>
      <c r="TUG50" s="45"/>
      <c r="TUH50" s="45"/>
      <c r="TUI50" s="45"/>
      <c r="TUJ50" s="45"/>
      <c r="TUK50" s="45"/>
      <c r="TUL50" s="45"/>
      <c r="TUM50" s="45"/>
      <c r="TUN50" s="45"/>
      <c r="TUO50" s="45"/>
      <c r="TUP50" s="45"/>
      <c r="TUQ50" s="45"/>
      <c r="TUR50" s="45"/>
      <c r="TUS50" s="45"/>
      <c r="TUT50" s="45"/>
      <c r="TUU50" s="45"/>
      <c r="TUV50" s="45"/>
      <c r="TUW50" s="45"/>
      <c r="TUX50" s="45"/>
      <c r="TUY50" s="45"/>
      <c r="TUZ50" s="45"/>
      <c r="TVA50" s="45"/>
      <c r="TVB50" s="45"/>
      <c r="TVC50" s="45"/>
      <c r="TVD50" s="45"/>
      <c r="TVE50" s="45"/>
      <c r="TVF50" s="45"/>
      <c r="TVG50" s="45"/>
      <c r="TVH50" s="45"/>
      <c r="TVI50" s="45"/>
      <c r="TVJ50" s="45"/>
      <c r="TVK50" s="45"/>
      <c r="TVL50" s="45"/>
      <c r="TVM50" s="45"/>
      <c r="TVN50" s="45"/>
      <c r="TVO50" s="45"/>
      <c r="TVP50" s="45"/>
      <c r="TVQ50" s="45"/>
      <c r="TVR50" s="45"/>
      <c r="TVS50" s="45"/>
      <c r="TVT50" s="45"/>
      <c r="TVU50" s="45"/>
      <c r="TVV50" s="45"/>
      <c r="TVW50" s="45"/>
      <c r="TVX50" s="45"/>
      <c r="TVY50" s="45"/>
      <c r="TVZ50" s="45"/>
      <c r="TWA50" s="45"/>
      <c r="TWB50" s="45"/>
      <c r="TWC50" s="45"/>
      <c r="TWD50" s="45"/>
      <c r="TWE50" s="45"/>
      <c r="TWF50" s="45"/>
      <c r="TWG50" s="45"/>
      <c r="TWH50" s="45"/>
      <c r="TWI50" s="45"/>
      <c r="TWJ50" s="45"/>
      <c r="TWK50" s="45"/>
      <c r="TWL50" s="45"/>
      <c r="TWM50" s="45"/>
      <c r="TWN50" s="45"/>
      <c r="TWO50" s="45"/>
      <c r="TWP50" s="45"/>
      <c r="TWQ50" s="45"/>
      <c r="TWR50" s="45"/>
      <c r="TWS50" s="45"/>
      <c r="TWT50" s="45"/>
      <c r="TWU50" s="45"/>
      <c r="TWV50" s="45"/>
      <c r="TWW50" s="45"/>
      <c r="TWX50" s="45"/>
      <c r="TWY50" s="45"/>
      <c r="TWZ50" s="45"/>
      <c r="TXA50" s="45"/>
      <c r="TXB50" s="45"/>
      <c r="TXC50" s="45"/>
      <c r="TXD50" s="45"/>
      <c r="TXE50" s="45"/>
      <c r="TXF50" s="45"/>
      <c r="TXG50" s="45"/>
      <c r="TXH50" s="45"/>
      <c r="TXI50" s="45"/>
      <c r="TXJ50" s="45"/>
      <c r="TXK50" s="45"/>
      <c r="TXL50" s="45"/>
      <c r="TXM50" s="45"/>
      <c r="TXN50" s="45"/>
      <c r="TXO50" s="45"/>
      <c r="TXP50" s="45"/>
      <c r="TXQ50" s="45"/>
      <c r="TXR50" s="45"/>
      <c r="TXS50" s="45"/>
      <c r="TXT50" s="45"/>
      <c r="TXU50" s="45"/>
      <c r="TXV50" s="45"/>
      <c r="TXW50" s="45"/>
      <c r="TXX50" s="45"/>
      <c r="TXY50" s="45"/>
      <c r="TXZ50" s="45"/>
      <c r="TYA50" s="45"/>
      <c r="TYB50" s="45"/>
      <c r="TYC50" s="45"/>
      <c r="TYD50" s="45"/>
      <c r="TYE50" s="45"/>
      <c r="TYF50" s="45"/>
      <c r="TYG50" s="45"/>
      <c r="TYH50" s="45"/>
      <c r="TYI50" s="45"/>
      <c r="TYJ50" s="45"/>
      <c r="TYK50" s="45"/>
      <c r="TYL50" s="45"/>
      <c r="TYM50" s="45"/>
      <c r="TYN50" s="45"/>
      <c r="TYO50" s="45"/>
      <c r="TYP50" s="45"/>
      <c r="TYQ50" s="45"/>
      <c r="TYR50" s="45"/>
      <c r="TYS50" s="45"/>
      <c r="TYT50" s="45"/>
      <c r="TYU50" s="45"/>
      <c r="TYV50" s="45"/>
      <c r="TYW50" s="45"/>
      <c r="TYX50" s="45"/>
      <c r="TYY50" s="45"/>
      <c r="TYZ50" s="45"/>
      <c r="TZA50" s="45"/>
      <c r="TZB50" s="45"/>
      <c r="TZC50" s="45"/>
      <c r="TZD50" s="45"/>
      <c r="TZE50" s="45"/>
      <c r="TZF50" s="45"/>
      <c r="TZG50" s="45"/>
      <c r="TZH50" s="45"/>
      <c r="TZI50" s="45"/>
      <c r="TZJ50" s="45"/>
      <c r="TZK50" s="45"/>
      <c r="TZL50" s="45"/>
      <c r="TZM50" s="45"/>
      <c r="TZN50" s="45"/>
      <c r="TZO50" s="45"/>
      <c r="TZP50" s="45"/>
      <c r="TZQ50" s="45"/>
      <c r="TZR50" s="45"/>
      <c r="TZS50" s="45"/>
      <c r="TZT50" s="45"/>
      <c r="TZU50" s="45"/>
      <c r="TZV50" s="45"/>
      <c r="TZW50" s="45"/>
      <c r="TZX50" s="45"/>
      <c r="TZY50" s="45"/>
      <c r="TZZ50" s="45"/>
      <c r="UAA50" s="45"/>
      <c r="UAB50" s="45"/>
      <c r="UAC50" s="45"/>
      <c r="UAD50" s="45"/>
      <c r="UAE50" s="45"/>
      <c r="UAF50" s="45"/>
      <c r="UAG50" s="45"/>
      <c r="UAH50" s="45"/>
      <c r="UAI50" s="45"/>
      <c r="UAJ50" s="45"/>
      <c r="UAK50" s="45"/>
      <c r="UAL50" s="45"/>
      <c r="UAM50" s="45"/>
      <c r="UAN50" s="45"/>
      <c r="UAO50" s="45"/>
      <c r="UAP50" s="45"/>
      <c r="UAQ50" s="45"/>
      <c r="UAR50" s="45"/>
      <c r="UAS50" s="45"/>
      <c r="UAT50" s="45"/>
      <c r="UAU50" s="45"/>
      <c r="UAV50" s="45"/>
      <c r="UAW50" s="45"/>
      <c r="UAX50" s="45"/>
      <c r="UAY50" s="45"/>
      <c r="UAZ50" s="45"/>
      <c r="UBA50" s="45"/>
      <c r="UBB50" s="45"/>
      <c r="UBC50" s="45"/>
      <c r="UBD50" s="45"/>
      <c r="UBE50" s="45"/>
      <c r="UBF50" s="45"/>
      <c r="UBG50" s="45"/>
      <c r="UBH50" s="45"/>
      <c r="UBI50" s="45"/>
      <c r="UBJ50" s="45"/>
      <c r="UBK50" s="45"/>
      <c r="UBL50" s="45"/>
      <c r="UBM50" s="45"/>
      <c r="UBN50" s="45"/>
      <c r="UBO50" s="45"/>
      <c r="UBP50" s="45"/>
      <c r="UBQ50" s="45"/>
      <c r="UBR50" s="45"/>
      <c r="UBS50" s="45"/>
      <c r="UBT50" s="45"/>
      <c r="UBU50" s="45"/>
      <c r="UBV50" s="45"/>
      <c r="UBW50" s="45"/>
      <c r="UBX50" s="45"/>
      <c r="UBY50" s="45"/>
      <c r="UBZ50" s="45"/>
      <c r="UCA50" s="45"/>
      <c r="UCB50" s="45"/>
      <c r="UCC50" s="45"/>
      <c r="UCD50" s="45"/>
      <c r="UCE50" s="45"/>
      <c r="UCF50" s="45"/>
      <c r="UCG50" s="45"/>
      <c r="UCH50" s="45"/>
      <c r="UCI50" s="45"/>
      <c r="UCJ50" s="45"/>
      <c r="UCK50" s="45"/>
      <c r="UCL50" s="45"/>
      <c r="UCM50" s="45"/>
      <c r="UCN50" s="45"/>
      <c r="UCO50" s="45"/>
      <c r="UCP50" s="45"/>
      <c r="UCQ50" s="45"/>
      <c r="UCR50" s="45"/>
      <c r="UCS50" s="45"/>
      <c r="UCT50" s="45"/>
      <c r="UCU50" s="45"/>
      <c r="UCV50" s="45"/>
      <c r="UCW50" s="45"/>
      <c r="UCX50" s="45"/>
      <c r="UCY50" s="45"/>
      <c r="UCZ50" s="45"/>
      <c r="UDA50" s="45"/>
      <c r="UDB50" s="45"/>
      <c r="UDC50" s="45"/>
      <c r="UDD50" s="45"/>
      <c r="UDE50" s="45"/>
      <c r="UDF50" s="45"/>
      <c r="UDG50" s="45"/>
      <c r="UDH50" s="45"/>
      <c r="UDI50" s="45"/>
      <c r="UDJ50" s="45"/>
      <c r="UDK50" s="45"/>
      <c r="UDL50" s="45"/>
      <c r="UDM50" s="45"/>
      <c r="UDN50" s="45"/>
      <c r="UDO50" s="45"/>
      <c r="UDP50" s="45"/>
      <c r="UDQ50" s="45"/>
      <c r="UDR50" s="45"/>
      <c r="UDS50" s="45"/>
      <c r="UDT50" s="45"/>
      <c r="UDU50" s="45"/>
      <c r="UDV50" s="45"/>
      <c r="UDW50" s="45"/>
      <c r="UDX50" s="45"/>
      <c r="UDY50" s="45"/>
      <c r="UDZ50" s="45"/>
      <c r="UEA50" s="45"/>
      <c r="UEB50" s="45"/>
      <c r="UEC50" s="45"/>
      <c r="UED50" s="45"/>
      <c r="UEE50" s="45"/>
      <c r="UEF50" s="45"/>
      <c r="UEG50" s="45"/>
      <c r="UEH50" s="45"/>
      <c r="UEI50" s="45"/>
      <c r="UEJ50" s="45"/>
      <c r="UEK50" s="45"/>
      <c r="UEL50" s="45"/>
      <c r="UEM50" s="45"/>
      <c r="UEN50" s="45"/>
      <c r="UEO50" s="45"/>
      <c r="UEP50" s="45"/>
      <c r="UEQ50" s="45"/>
      <c r="UER50" s="45"/>
      <c r="UES50" s="45"/>
      <c r="UET50" s="45"/>
      <c r="UEU50" s="45"/>
      <c r="UEV50" s="45"/>
      <c r="UEW50" s="45"/>
      <c r="UEX50" s="45"/>
      <c r="UEY50" s="45"/>
      <c r="UEZ50" s="45"/>
      <c r="UFA50" s="45"/>
      <c r="UFB50" s="45"/>
      <c r="UFC50" s="45"/>
      <c r="UFD50" s="45"/>
      <c r="UFE50" s="45"/>
      <c r="UFF50" s="45"/>
      <c r="UFG50" s="45"/>
      <c r="UFH50" s="45"/>
      <c r="UFI50" s="45"/>
      <c r="UFJ50" s="45"/>
      <c r="UFK50" s="45"/>
      <c r="UFL50" s="45"/>
      <c r="UFM50" s="45"/>
      <c r="UFN50" s="45"/>
      <c r="UFO50" s="45"/>
      <c r="UFP50" s="45"/>
      <c r="UFQ50" s="45"/>
      <c r="UFR50" s="45"/>
      <c r="UFS50" s="45"/>
      <c r="UFT50" s="45"/>
      <c r="UFU50" s="45"/>
      <c r="UFV50" s="45"/>
      <c r="UFW50" s="45"/>
      <c r="UFX50" s="45"/>
      <c r="UFY50" s="45"/>
      <c r="UFZ50" s="45"/>
      <c r="UGA50" s="45"/>
      <c r="UGB50" s="45"/>
      <c r="UGC50" s="45"/>
      <c r="UGD50" s="45"/>
      <c r="UGE50" s="45"/>
      <c r="UGF50" s="45"/>
      <c r="UGG50" s="45"/>
      <c r="UGH50" s="45"/>
      <c r="UGI50" s="45"/>
      <c r="UGJ50" s="45"/>
      <c r="UGK50" s="45"/>
      <c r="UGL50" s="45"/>
      <c r="UGM50" s="45"/>
      <c r="UGN50" s="45"/>
      <c r="UGO50" s="45"/>
      <c r="UGP50" s="45"/>
      <c r="UGQ50" s="45"/>
      <c r="UGR50" s="45"/>
      <c r="UGS50" s="45"/>
      <c r="UGT50" s="45"/>
      <c r="UGU50" s="45"/>
      <c r="UGV50" s="45"/>
      <c r="UGW50" s="45"/>
      <c r="UGX50" s="45"/>
      <c r="UGY50" s="45"/>
      <c r="UGZ50" s="45"/>
      <c r="UHA50" s="45"/>
      <c r="UHB50" s="45"/>
      <c r="UHC50" s="45"/>
      <c r="UHD50" s="45"/>
      <c r="UHE50" s="45"/>
      <c r="UHF50" s="45"/>
      <c r="UHG50" s="45"/>
      <c r="UHH50" s="45"/>
      <c r="UHI50" s="45"/>
      <c r="UHJ50" s="45"/>
      <c r="UHK50" s="45"/>
      <c r="UHL50" s="45"/>
      <c r="UHM50" s="45"/>
      <c r="UHN50" s="45"/>
      <c r="UHO50" s="45"/>
      <c r="UHP50" s="45"/>
      <c r="UHQ50" s="45"/>
      <c r="UHR50" s="45"/>
      <c r="UHS50" s="45"/>
      <c r="UHT50" s="45"/>
      <c r="UHU50" s="45"/>
      <c r="UHV50" s="45"/>
      <c r="UHW50" s="45"/>
      <c r="UHX50" s="45"/>
      <c r="UHY50" s="45"/>
      <c r="UHZ50" s="45"/>
      <c r="UIA50" s="45"/>
      <c r="UIB50" s="45"/>
      <c r="UIC50" s="45"/>
      <c r="UID50" s="45"/>
      <c r="UIE50" s="45"/>
      <c r="UIF50" s="45"/>
      <c r="UIG50" s="45"/>
      <c r="UIH50" s="45"/>
      <c r="UII50" s="45"/>
      <c r="UIJ50" s="45"/>
      <c r="UIK50" s="45"/>
      <c r="UIL50" s="45"/>
      <c r="UIM50" s="45"/>
      <c r="UIN50" s="45"/>
      <c r="UIO50" s="45"/>
      <c r="UIP50" s="45"/>
      <c r="UIQ50" s="45"/>
      <c r="UIR50" s="45"/>
      <c r="UIS50" s="45"/>
      <c r="UIT50" s="45"/>
      <c r="UIU50" s="45"/>
      <c r="UIV50" s="45"/>
      <c r="UIW50" s="45"/>
      <c r="UIX50" s="45"/>
      <c r="UIY50" s="45"/>
      <c r="UIZ50" s="45"/>
      <c r="UJA50" s="45"/>
      <c r="UJB50" s="45"/>
      <c r="UJC50" s="45"/>
      <c r="UJD50" s="45"/>
      <c r="UJE50" s="45"/>
      <c r="UJF50" s="45"/>
      <c r="UJG50" s="45"/>
      <c r="UJH50" s="45"/>
      <c r="UJI50" s="45"/>
      <c r="UJJ50" s="45"/>
      <c r="UJK50" s="45"/>
      <c r="UJL50" s="45"/>
      <c r="UJM50" s="45"/>
      <c r="UJN50" s="45"/>
      <c r="UJO50" s="45"/>
      <c r="UJP50" s="45"/>
      <c r="UJQ50" s="45"/>
      <c r="UJR50" s="45"/>
      <c r="UJS50" s="45"/>
      <c r="UJT50" s="45"/>
      <c r="UJU50" s="45"/>
      <c r="UJV50" s="45"/>
      <c r="UJW50" s="45"/>
      <c r="UJX50" s="45"/>
      <c r="UJY50" s="45"/>
      <c r="UJZ50" s="45"/>
      <c r="UKA50" s="45"/>
      <c r="UKB50" s="45"/>
      <c r="UKC50" s="45"/>
      <c r="UKD50" s="45"/>
      <c r="UKE50" s="45"/>
      <c r="UKF50" s="45"/>
      <c r="UKG50" s="45"/>
      <c r="UKH50" s="45"/>
      <c r="UKI50" s="45"/>
      <c r="UKJ50" s="45"/>
      <c r="UKK50" s="45"/>
      <c r="UKL50" s="45"/>
      <c r="UKM50" s="45"/>
      <c r="UKN50" s="45"/>
      <c r="UKO50" s="45"/>
      <c r="UKP50" s="45"/>
      <c r="UKQ50" s="45"/>
      <c r="UKR50" s="45"/>
      <c r="UKS50" s="45"/>
      <c r="UKT50" s="45"/>
      <c r="UKU50" s="45"/>
      <c r="UKV50" s="45"/>
      <c r="UKW50" s="45"/>
      <c r="UKX50" s="45"/>
      <c r="UKY50" s="45"/>
      <c r="UKZ50" s="45"/>
      <c r="ULA50" s="45"/>
      <c r="ULB50" s="45"/>
      <c r="ULC50" s="45"/>
      <c r="ULD50" s="45"/>
      <c r="ULE50" s="45"/>
      <c r="ULF50" s="45"/>
      <c r="ULG50" s="45"/>
      <c r="ULH50" s="45"/>
      <c r="ULI50" s="45"/>
      <c r="ULJ50" s="45"/>
      <c r="ULK50" s="45"/>
      <c r="ULL50" s="45"/>
      <c r="ULM50" s="45"/>
      <c r="ULN50" s="45"/>
      <c r="ULO50" s="45"/>
      <c r="ULP50" s="45"/>
      <c r="ULQ50" s="45"/>
      <c r="ULR50" s="45"/>
      <c r="ULS50" s="45"/>
      <c r="ULT50" s="45"/>
      <c r="ULU50" s="45"/>
      <c r="ULV50" s="45"/>
      <c r="ULW50" s="45"/>
      <c r="ULX50" s="45"/>
      <c r="ULY50" s="45"/>
      <c r="ULZ50" s="45"/>
      <c r="UMA50" s="45"/>
      <c r="UMB50" s="45"/>
      <c r="UMC50" s="45"/>
      <c r="UMD50" s="45"/>
      <c r="UME50" s="45"/>
      <c r="UMF50" s="45"/>
      <c r="UMG50" s="45"/>
      <c r="UMH50" s="45"/>
      <c r="UMI50" s="45"/>
      <c r="UMJ50" s="45"/>
      <c r="UMK50" s="45"/>
      <c r="UML50" s="45"/>
      <c r="UMM50" s="45"/>
      <c r="UMN50" s="45"/>
      <c r="UMO50" s="45"/>
      <c r="UMP50" s="45"/>
      <c r="UMQ50" s="45"/>
      <c r="UMR50" s="45"/>
      <c r="UMS50" s="45"/>
      <c r="UMT50" s="45"/>
      <c r="UMU50" s="45"/>
      <c r="UMV50" s="45"/>
      <c r="UMW50" s="45"/>
      <c r="UMX50" s="45"/>
      <c r="UMY50" s="45"/>
      <c r="UMZ50" s="45"/>
      <c r="UNA50" s="45"/>
      <c r="UNB50" s="45"/>
      <c r="UNC50" s="45"/>
      <c r="UND50" s="45"/>
      <c r="UNE50" s="45"/>
      <c r="UNF50" s="45"/>
      <c r="UNG50" s="45"/>
      <c r="UNH50" s="45"/>
      <c r="UNI50" s="45"/>
      <c r="UNJ50" s="45"/>
      <c r="UNK50" s="45"/>
      <c r="UNL50" s="45"/>
      <c r="UNM50" s="45"/>
      <c r="UNN50" s="45"/>
      <c r="UNO50" s="45"/>
      <c r="UNP50" s="45"/>
      <c r="UNQ50" s="45"/>
      <c r="UNR50" s="45"/>
      <c r="UNS50" s="45"/>
      <c r="UNT50" s="45"/>
      <c r="UNU50" s="45"/>
      <c r="UNV50" s="45"/>
      <c r="UNW50" s="45"/>
      <c r="UNX50" s="45"/>
      <c r="UNY50" s="45"/>
      <c r="UNZ50" s="45"/>
      <c r="UOA50" s="45"/>
      <c r="UOB50" s="45"/>
      <c r="UOC50" s="45"/>
      <c r="UOD50" s="45"/>
      <c r="UOE50" s="45"/>
      <c r="UOF50" s="45"/>
      <c r="UOG50" s="45"/>
      <c r="UOH50" s="45"/>
      <c r="UOI50" s="45"/>
      <c r="UOJ50" s="45"/>
      <c r="UOK50" s="45"/>
      <c r="UOL50" s="45"/>
      <c r="UOM50" s="45"/>
      <c r="UON50" s="45"/>
      <c r="UOO50" s="45"/>
      <c r="UOP50" s="45"/>
      <c r="UOQ50" s="45"/>
      <c r="UOR50" s="45"/>
      <c r="UOS50" s="45"/>
      <c r="UOT50" s="45"/>
      <c r="UOU50" s="45"/>
      <c r="UOV50" s="45"/>
      <c r="UOW50" s="45"/>
      <c r="UOX50" s="45"/>
      <c r="UOY50" s="45"/>
      <c r="UOZ50" s="45"/>
      <c r="UPA50" s="45"/>
      <c r="UPB50" s="45"/>
      <c r="UPC50" s="45"/>
      <c r="UPD50" s="45"/>
      <c r="UPE50" s="45"/>
      <c r="UPF50" s="45"/>
      <c r="UPG50" s="45"/>
      <c r="UPH50" s="45"/>
      <c r="UPI50" s="45"/>
      <c r="UPJ50" s="45"/>
      <c r="UPK50" s="45"/>
      <c r="UPL50" s="45"/>
      <c r="UPM50" s="45"/>
      <c r="UPN50" s="45"/>
      <c r="UPO50" s="45"/>
      <c r="UPP50" s="45"/>
      <c r="UPQ50" s="45"/>
      <c r="UPR50" s="45"/>
      <c r="UPS50" s="45"/>
      <c r="UPT50" s="45"/>
      <c r="UPU50" s="45"/>
      <c r="UPV50" s="45"/>
      <c r="UPW50" s="45"/>
      <c r="UPX50" s="45"/>
      <c r="UPY50" s="45"/>
      <c r="UPZ50" s="45"/>
      <c r="UQA50" s="45"/>
      <c r="UQB50" s="45"/>
      <c r="UQC50" s="45"/>
      <c r="UQD50" s="45"/>
      <c r="UQE50" s="45"/>
      <c r="UQF50" s="45"/>
      <c r="UQG50" s="45"/>
      <c r="UQH50" s="45"/>
      <c r="UQI50" s="45"/>
      <c r="UQJ50" s="45"/>
      <c r="UQK50" s="45"/>
      <c r="UQL50" s="45"/>
      <c r="UQM50" s="45"/>
      <c r="UQN50" s="45"/>
      <c r="UQO50" s="45"/>
      <c r="UQP50" s="45"/>
      <c r="UQQ50" s="45"/>
      <c r="UQR50" s="45"/>
      <c r="UQS50" s="45"/>
      <c r="UQT50" s="45"/>
      <c r="UQU50" s="45"/>
      <c r="UQV50" s="45"/>
      <c r="UQW50" s="45"/>
      <c r="UQX50" s="45"/>
      <c r="UQY50" s="45"/>
      <c r="UQZ50" s="45"/>
      <c r="URA50" s="45"/>
      <c r="URB50" s="45"/>
      <c r="URC50" s="45"/>
      <c r="URD50" s="45"/>
      <c r="URE50" s="45"/>
      <c r="URF50" s="45"/>
      <c r="URG50" s="45"/>
      <c r="URH50" s="45"/>
      <c r="URI50" s="45"/>
      <c r="URJ50" s="45"/>
      <c r="URK50" s="45"/>
      <c r="URL50" s="45"/>
      <c r="URM50" s="45"/>
      <c r="URN50" s="45"/>
      <c r="URO50" s="45"/>
      <c r="URP50" s="45"/>
      <c r="URQ50" s="45"/>
      <c r="URR50" s="45"/>
      <c r="URS50" s="45"/>
      <c r="URT50" s="45"/>
      <c r="URU50" s="45"/>
      <c r="URV50" s="45"/>
      <c r="URW50" s="45"/>
      <c r="URX50" s="45"/>
      <c r="URY50" s="45"/>
      <c r="URZ50" s="45"/>
      <c r="USA50" s="45"/>
      <c r="USB50" s="45"/>
      <c r="USC50" s="45"/>
      <c r="USD50" s="45"/>
      <c r="USE50" s="45"/>
      <c r="USF50" s="45"/>
      <c r="USG50" s="45"/>
      <c r="USH50" s="45"/>
      <c r="USI50" s="45"/>
      <c r="USJ50" s="45"/>
      <c r="USK50" s="45"/>
      <c r="USL50" s="45"/>
      <c r="USM50" s="45"/>
      <c r="USN50" s="45"/>
      <c r="USO50" s="45"/>
      <c r="USP50" s="45"/>
      <c r="USQ50" s="45"/>
      <c r="USR50" s="45"/>
      <c r="USS50" s="45"/>
      <c r="UST50" s="45"/>
      <c r="USU50" s="45"/>
      <c r="USV50" s="45"/>
      <c r="USW50" s="45"/>
      <c r="USX50" s="45"/>
      <c r="USY50" s="45"/>
      <c r="USZ50" s="45"/>
      <c r="UTA50" s="45"/>
      <c r="UTB50" s="45"/>
      <c r="UTC50" s="45"/>
      <c r="UTD50" s="45"/>
      <c r="UTE50" s="45"/>
      <c r="UTF50" s="45"/>
      <c r="UTG50" s="45"/>
      <c r="UTH50" s="45"/>
      <c r="UTI50" s="45"/>
      <c r="UTJ50" s="45"/>
      <c r="UTK50" s="45"/>
      <c r="UTL50" s="45"/>
      <c r="UTM50" s="45"/>
      <c r="UTN50" s="45"/>
      <c r="UTO50" s="45"/>
      <c r="UTP50" s="45"/>
      <c r="UTQ50" s="45"/>
      <c r="UTR50" s="45"/>
      <c r="UTS50" s="45"/>
      <c r="UTT50" s="45"/>
      <c r="UTU50" s="45"/>
      <c r="UTV50" s="45"/>
      <c r="UTW50" s="45"/>
      <c r="UTX50" s="45"/>
      <c r="UTY50" s="45"/>
      <c r="UTZ50" s="45"/>
      <c r="UUA50" s="45"/>
      <c r="UUB50" s="45"/>
      <c r="UUC50" s="45"/>
      <c r="UUD50" s="45"/>
      <c r="UUE50" s="45"/>
      <c r="UUF50" s="45"/>
      <c r="UUG50" s="45"/>
      <c r="UUH50" s="45"/>
      <c r="UUI50" s="45"/>
      <c r="UUJ50" s="45"/>
      <c r="UUK50" s="45"/>
      <c r="UUL50" s="45"/>
      <c r="UUM50" s="45"/>
      <c r="UUN50" s="45"/>
      <c r="UUO50" s="45"/>
      <c r="UUP50" s="45"/>
      <c r="UUQ50" s="45"/>
      <c r="UUR50" s="45"/>
      <c r="UUS50" s="45"/>
      <c r="UUT50" s="45"/>
      <c r="UUU50" s="45"/>
      <c r="UUV50" s="45"/>
      <c r="UUW50" s="45"/>
      <c r="UUX50" s="45"/>
      <c r="UUY50" s="45"/>
      <c r="UUZ50" s="45"/>
      <c r="UVA50" s="45"/>
      <c r="UVB50" s="45"/>
      <c r="UVC50" s="45"/>
      <c r="UVD50" s="45"/>
      <c r="UVE50" s="45"/>
      <c r="UVF50" s="45"/>
      <c r="UVG50" s="45"/>
      <c r="UVH50" s="45"/>
      <c r="UVI50" s="45"/>
      <c r="UVJ50" s="45"/>
      <c r="UVK50" s="45"/>
      <c r="UVL50" s="45"/>
      <c r="UVM50" s="45"/>
      <c r="UVN50" s="45"/>
      <c r="UVO50" s="45"/>
      <c r="UVP50" s="45"/>
      <c r="UVQ50" s="45"/>
      <c r="UVR50" s="45"/>
      <c r="UVS50" s="45"/>
      <c r="UVT50" s="45"/>
      <c r="UVU50" s="45"/>
      <c r="UVV50" s="45"/>
      <c r="UVW50" s="45"/>
      <c r="UVX50" s="45"/>
      <c r="UVY50" s="45"/>
      <c r="UVZ50" s="45"/>
      <c r="UWA50" s="45"/>
      <c r="UWB50" s="45"/>
      <c r="UWC50" s="45"/>
      <c r="UWD50" s="45"/>
      <c r="UWE50" s="45"/>
      <c r="UWF50" s="45"/>
      <c r="UWG50" s="45"/>
      <c r="UWH50" s="45"/>
      <c r="UWI50" s="45"/>
      <c r="UWJ50" s="45"/>
      <c r="UWK50" s="45"/>
      <c r="UWL50" s="45"/>
      <c r="UWM50" s="45"/>
      <c r="UWN50" s="45"/>
      <c r="UWO50" s="45"/>
      <c r="UWP50" s="45"/>
      <c r="UWQ50" s="45"/>
      <c r="UWR50" s="45"/>
      <c r="UWS50" s="45"/>
      <c r="UWT50" s="45"/>
      <c r="UWU50" s="45"/>
      <c r="UWV50" s="45"/>
      <c r="UWW50" s="45"/>
      <c r="UWX50" s="45"/>
      <c r="UWY50" s="45"/>
      <c r="UWZ50" s="45"/>
      <c r="UXA50" s="45"/>
      <c r="UXB50" s="45"/>
      <c r="UXC50" s="45"/>
      <c r="UXD50" s="45"/>
      <c r="UXE50" s="45"/>
      <c r="UXF50" s="45"/>
      <c r="UXG50" s="45"/>
      <c r="UXH50" s="45"/>
      <c r="UXI50" s="45"/>
      <c r="UXJ50" s="45"/>
      <c r="UXK50" s="45"/>
      <c r="UXL50" s="45"/>
      <c r="UXM50" s="45"/>
      <c r="UXN50" s="45"/>
      <c r="UXO50" s="45"/>
      <c r="UXP50" s="45"/>
      <c r="UXQ50" s="45"/>
      <c r="UXR50" s="45"/>
      <c r="UXS50" s="45"/>
      <c r="UXT50" s="45"/>
      <c r="UXU50" s="45"/>
      <c r="UXV50" s="45"/>
      <c r="UXW50" s="45"/>
      <c r="UXX50" s="45"/>
      <c r="UXY50" s="45"/>
      <c r="UXZ50" s="45"/>
      <c r="UYA50" s="45"/>
      <c r="UYB50" s="45"/>
      <c r="UYC50" s="45"/>
      <c r="UYD50" s="45"/>
      <c r="UYE50" s="45"/>
      <c r="UYF50" s="45"/>
      <c r="UYG50" s="45"/>
      <c r="UYH50" s="45"/>
      <c r="UYI50" s="45"/>
      <c r="UYJ50" s="45"/>
      <c r="UYK50" s="45"/>
      <c r="UYL50" s="45"/>
      <c r="UYM50" s="45"/>
      <c r="UYN50" s="45"/>
      <c r="UYO50" s="45"/>
      <c r="UYP50" s="45"/>
      <c r="UYQ50" s="45"/>
      <c r="UYR50" s="45"/>
      <c r="UYS50" s="45"/>
      <c r="UYT50" s="45"/>
      <c r="UYU50" s="45"/>
      <c r="UYV50" s="45"/>
      <c r="UYW50" s="45"/>
      <c r="UYX50" s="45"/>
      <c r="UYY50" s="45"/>
      <c r="UYZ50" s="45"/>
      <c r="UZA50" s="45"/>
      <c r="UZB50" s="45"/>
      <c r="UZC50" s="45"/>
      <c r="UZD50" s="45"/>
      <c r="UZE50" s="45"/>
      <c r="UZF50" s="45"/>
      <c r="UZG50" s="45"/>
      <c r="UZH50" s="45"/>
      <c r="UZI50" s="45"/>
      <c r="UZJ50" s="45"/>
      <c r="UZK50" s="45"/>
      <c r="UZL50" s="45"/>
      <c r="UZM50" s="45"/>
      <c r="UZN50" s="45"/>
      <c r="UZO50" s="45"/>
      <c r="UZP50" s="45"/>
      <c r="UZQ50" s="45"/>
      <c r="UZR50" s="45"/>
      <c r="UZS50" s="45"/>
      <c r="UZT50" s="45"/>
      <c r="UZU50" s="45"/>
      <c r="UZV50" s="45"/>
      <c r="UZW50" s="45"/>
      <c r="UZX50" s="45"/>
      <c r="UZY50" s="45"/>
      <c r="UZZ50" s="45"/>
      <c r="VAA50" s="45"/>
      <c r="VAB50" s="45"/>
      <c r="VAC50" s="45"/>
      <c r="VAD50" s="45"/>
      <c r="VAE50" s="45"/>
      <c r="VAF50" s="45"/>
      <c r="VAG50" s="45"/>
      <c r="VAH50" s="45"/>
      <c r="VAI50" s="45"/>
      <c r="VAJ50" s="45"/>
      <c r="VAK50" s="45"/>
      <c r="VAL50" s="45"/>
      <c r="VAM50" s="45"/>
      <c r="VAN50" s="45"/>
      <c r="VAO50" s="45"/>
      <c r="VAP50" s="45"/>
      <c r="VAQ50" s="45"/>
      <c r="VAR50" s="45"/>
      <c r="VAS50" s="45"/>
      <c r="VAT50" s="45"/>
      <c r="VAU50" s="45"/>
      <c r="VAV50" s="45"/>
      <c r="VAW50" s="45"/>
      <c r="VAX50" s="45"/>
      <c r="VAY50" s="45"/>
      <c r="VAZ50" s="45"/>
      <c r="VBA50" s="45"/>
      <c r="VBB50" s="45"/>
      <c r="VBC50" s="45"/>
      <c r="VBD50" s="45"/>
      <c r="VBE50" s="45"/>
      <c r="VBF50" s="45"/>
      <c r="VBG50" s="45"/>
      <c r="VBH50" s="45"/>
      <c r="VBI50" s="45"/>
      <c r="VBJ50" s="45"/>
      <c r="VBK50" s="45"/>
      <c r="VBL50" s="45"/>
      <c r="VBM50" s="45"/>
      <c r="VBN50" s="45"/>
      <c r="VBO50" s="45"/>
      <c r="VBP50" s="45"/>
      <c r="VBQ50" s="45"/>
      <c r="VBR50" s="45"/>
      <c r="VBS50" s="45"/>
      <c r="VBT50" s="45"/>
      <c r="VBU50" s="45"/>
      <c r="VBV50" s="45"/>
      <c r="VBW50" s="45"/>
      <c r="VBX50" s="45"/>
      <c r="VBY50" s="45"/>
      <c r="VBZ50" s="45"/>
      <c r="VCA50" s="45"/>
      <c r="VCB50" s="45"/>
      <c r="VCC50" s="45"/>
      <c r="VCD50" s="45"/>
      <c r="VCE50" s="45"/>
      <c r="VCF50" s="45"/>
      <c r="VCG50" s="45"/>
      <c r="VCH50" s="45"/>
      <c r="VCI50" s="45"/>
      <c r="VCJ50" s="45"/>
      <c r="VCK50" s="45"/>
      <c r="VCL50" s="45"/>
      <c r="VCM50" s="45"/>
      <c r="VCN50" s="45"/>
      <c r="VCO50" s="45"/>
      <c r="VCP50" s="45"/>
      <c r="VCQ50" s="45"/>
      <c r="VCR50" s="45"/>
      <c r="VCS50" s="45"/>
      <c r="VCT50" s="45"/>
      <c r="VCU50" s="45"/>
      <c r="VCV50" s="45"/>
      <c r="VCW50" s="45"/>
      <c r="VCX50" s="45"/>
      <c r="VCY50" s="45"/>
      <c r="VCZ50" s="45"/>
      <c r="VDA50" s="45"/>
      <c r="VDB50" s="45"/>
      <c r="VDC50" s="45"/>
      <c r="VDD50" s="45"/>
      <c r="VDE50" s="45"/>
      <c r="VDF50" s="45"/>
      <c r="VDG50" s="45"/>
      <c r="VDH50" s="45"/>
      <c r="VDI50" s="45"/>
      <c r="VDJ50" s="45"/>
      <c r="VDK50" s="45"/>
      <c r="VDL50" s="45"/>
      <c r="VDM50" s="45"/>
      <c r="VDN50" s="45"/>
      <c r="VDO50" s="45"/>
      <c r="VDP50" s="45"/>
      <c r="VDQ50" s="45"/>
      <c r="VDR50" s="45"/>
      <c r="VDS50" s="45"/>
      <c r="VDT50" s="45"/>
      <c r="VDU50" s="45"/>
      <c r="VDV50" s="45"/>
      <c r="VDW50" s="45"/>
      <c r="VDX50" s="45"/>
      <c r="VDY50" s="45"/>
      <c r="VDZ50" s="45"/>
      <c r="VEA50" s="45"/>
      <c r="VEB50" s="45"/>
      <c r="VEC50" s="45"/>
      <c r="VED50" s="45"/>
      <c r="VEE50" s="45"/>
      <c r="VEF50" s="45"/>
      <c r="VEG50" s="45"/>
      <c r="VEH50" s="45"/>
      <c r="VEI50" s="45"/>
      <c r="VEJ50" s="45"/>
      <c r="VEK50" s="45"/>
      <c r="VEL50" s="45"/>
      <c r="VEM50" s="45"/>
      <c r="VEN50" s="45"/>
      <c r="VEO50" s="45"/>
      <c r="VEP50" s="45"/>
      <c r="VEQ50" s="45"/>
      <c r="VER50" s="45"/>
      <c r="VES50" s="45"/>
      <c r="VET50" s="45"/>
      <c r="VEU50" s="45"/>
      <c r="VEV50" s="45"/>
      <c r="VEW50" s="45"/>
      <c r="VEX50" s="45"/>
      <c r="VEY50" s="45"/>
      <c r="VEZ50" s="45"/>
      <c r="VFA50" s="45"/>
      <c r="VFB50" s="45"/>
      <c r="VFC50" s="45"/>
      <c r="VFD50" s="45"/>
      <c r="VFE50" s="45"/>
      <c r="VFF50" s="45"/>
      <c r="VFG50" s="45"/>
      <c r="VFH50" s="45"/>
      <c r="VFI50" s="45"/>
      <c r="VFJ50" s="45"/>
      <c r="VFK50" s="45"/>
      <c r="VFL50" s="45"/>
      <c r="VFM50" s="45"/>
      <c r="VFN50" s="45"/>
      <c r="VFO50" s="45"/>
      <c r="VFP50" s="45"/>
      <c r="VFQ50" s="45"/>
      <c r="VFR50" s="45"/>
      <c r="VFS50" s="45"/>
      <c r="VFT50" s="45"/>
      <c r="VFU50" s="45"/>
      <c r="VFV50" s="45"/>
      <c r="VFW50" s="45"/>
      <c r="VFX50" s="45"/>
      <c r="VFY50" s="45"/>
      <c r="VFZ50" s="45"/>
      <c r="VGA50" s="45"/>
      <c r="VGB50" s="45"/>
      <c r="VGC50" s="45"/>
      <c r="VGD50" s="45"/>
      <c r="VGE50" s="45"/>
      <c r="VGF50" s="45"/>
      <c r="VGG50" s="45"/>
      <c r="VGH50" s="45"/>
      <c r="VGI50" s="45"/>
      <c r="VGJ50" s="45"/>
      <c r="VGK50" s="45"/>
      <c r="VGL50" s="45"/>
      <c r="VGM50" s="45"/>
      <c r="VGN50" s="45"/>
      <c r="VGO50" s="45"/>
      <c r="VGP50" s="45"/>
      <c r="VGQ50" s="45"/>
      <c r="VGR50" s="45"/>
      <c r="VGS50" s="45"/>
      <c r="VGT50" s="45"/>
      <c r="VGU50" s="45"/>
      <c r="VGV50" s="45"/>
      <c r="VGW50" s="45"/>
      <c r="VGX50" s="45"/>
      <c r="VGY50" s="45"/>
      <c r="VGZ50" s="45"/>
      <c r="VHA50" s="45"/>
      <c r="VHB50" s="45"/>
      <c r="VHC50" s="45"/>
      <c r="VHD50" s="45"/>
      <c r="VHE50" s="45"/>
      <c r="VHF50" s="45"/>
      <c r="VHG50" s="45"/>
      <c r="VHH50" s="45"/>
      <c r="VHI50" s="45"/>
      <c r="VHJ50" s="45"/>
      <c r="VHK50" s="45"/>
      <c r="VHL50" s="45"/>
      <c r="VHM50" s="45"/>
      <c r="VHN50" s="45"/>
      <c r="VHO50" s="45"/>
      <c r="VHP50" s="45"/>
      <c r="VHQ50" s="45"/>
      <c r="VHR50" s="45"/>
      <c r="VHS50" s="45"/>
      <c r="VHT50" s="45"/>
      <c r="VHU50" s="45"/>
      <c r="VHV50" s="45"/>
      <c r="VHW50" s="45"/>
      <c r="VHX50" s="45"/>
      <c r="VHY50" s="45"/>
      <c r="VHZ50" s="45"/>
      <c r="VIA50" s="45"/>
      <c r="VIB50" s="45"/>
      <c r="VIC50" s="45"/>
      <c r="VID50" s="45"/>
      <c r="VIE50" s="45"/>
      <c r="VIF50" s="45"/>
      <c r="VIG50" s="45"/>
      <c r="VIH50" s="45"/>
      <c r="VII50" s="45"/>
      <c r="VIJ50" s="45"/>
      <c r="VIK50" s="45"/>
      <c r="VIL50" s="45"/>
      <c r="VIM50" s="45"/>
      <c r="VIN50" s="45"/>
      <c r="VIO50" s="45"/>
      <c r="VIP50" s="45"/>
      <c r="VIQ50" s="45"/>
      <c r="VIR50" s="45"/>
      <c r="VIS50" s="45"/>
      <c r="VIT50" s="45"/>
      <c r="VIU50" s="45"/>
      <c r="VIV50" s="45"/>
      <c r="VIW50" s="45"/>
      <c r="VIX50" s="45"/>
      <c r="VIY50" s="45"/>
      <c r="VIZ50" s="45"/>
      <c r="VJA50" s="45"/>
      <c r="VJB50" s="45"/>
      <c r="VJC50" s="45"/>
      <c r="VJD50" s="45"/>
      <c r="VJE50" s="45"/>
      <c r="VJF50" s="45"/>
      <c r="VJG50" s="45"/>
      <c r="VJH50" s="45"/>
      <c r="VJI50" s="45"/>
      <c r="VJJ50" s="45"/>
      <c r="VJK50" s="45"/>
      <c r="VJL50" s="45"/>
      <c r="VJM50" s="45"/>
      <c r="VJN50" s="45"/>
      <c r="VJO50" s="45"/>
      <c r="VJP50" s="45"/>
      <c r="VJQ50" s="45"/>
      <c r="VJR50" s="45"/>
      <c r="VJS50" s="45"/>
      <c r="VJT50" s="45"/>
      <c r="VJU50" s="45"/>
      <c r="VJV50" s="45"/>
      <c r="VJW50" s="45"/>
      <c r="VJX50" s="45"/>
      <c r="VJY50" s="45"/>
      <c r="VJZ50" s="45"/>
      <c r="VKA50" s="45"/>
      <c r="VKB50" s="45"/>
      <c r="VKC50" s="45"/>
      <c r="VKD50" s="45"/>
      <c r="VKE50" s="45"/>
      <c r="VKF50" s="45"/>
      <c r="VKG50" s="45"/>
      <c r="VKH50" s="45"/>
      <c r="VKI50" s="45"/>
      <c r="VKJ50" s="45"/>
      <c r="VKK50" s="45"/>
      <c r="VKL50" s="45"/>
      <c r="VKM50" s="45"/>
      <c r="VKN50" s="45"/>
      <c r="VKO50" s="45"/>
      <c r="VKP50" s="45"/>
      <c r="VKQ50" s="45"/>
      <c r="VKR50" s="45"/>
      <c r="VKS50" s="45"/>
      <c r="VKT50" s="45"/>
      <c r="VKU50" s="45"/>
      <c r="VKV50" s="45"/>
      <c r="VKW50" s="45"/>
      <c r="VKX50" s="45"/>
      <c r="VKY50" s="45"/>
      <c r="VKZ50" s="45"/>
      <c r="VLA50" s="45"/>
      <c r="VLB50" s="45"/>
      <c r="VLC50" s="45"/>
      <c r="VLD50" s="45"/>
      <c r="VLE50" s="45"/>
      <c r="VLF50" s="45"/>
      <c r="VLG50" s="45"/>
      <c r="VLH50" s="45"/>
      <c r="VLI50" s="45"/>
      <c r="VLJ50" s="45"/>
      <c r="VLK50" s="45"/>
      <c r="VLL50" s="45"/>
      <c r="VLM50" s="45"/>
      <c r="VLN50" s="45"/>
      <c r="VLO50" s="45"/>
      <c r="VLP50" s="45"/>
      <c r="VLQ50" s="45"/>
      <c r="VLR50" s="45"/>
      <c r="VLS50" s="45"/>
      <c r="VLT50" s="45"/>
      <c r="VLU50" s="45"/>
      <c r="VLV50" s="45"/>
      <c r="VLW50" s="45"/>
      <c r="VLX50" s="45"/>
      <c r="VLY50" s="45"/>
      <c r="VLZ50" s="45"/>
      <c r="VMA50" s="45"/>
      <c r="VMB50" s="45"/>
      <c r="VMC50" s="45"/>
      <c r="VMD50" s="45"/>
      <c r="VME50" s="45"/>
      <c r="VMF50" s="45"/>
      <c r="VMG50" s="45"/>
      <c r="VMH50" s="45"/>
      <c r="VMI50" s="45"/>
      <c r="VMJ50" s="45"/>
      <c r="VMK50" s="45"/>
      <c r="VML50" s="45"/>
      <c r="VMM50" s="45"/>
      <c r="VMN50" s="45"/>
      <c r="VMO50" s="45"/>
      <c r="VMP50" s="45"/>
      <c r="VMQ50" s="45"/>
      <c r="VMR50" s="45"/>
      <c r="VMS50" s="45"/>
      <c r="VMT50" s="45"/>
      <c r="VMU50" s="45"/>
      <c r="VMV50" s="45"/>
      <c r="VMW50" s="45"/>
      <c r="VMX50" s="45"/>
      <c r="VMY50" s="45"/>
      <c r="VMZ50" s="45"/>
      <c r="VNA50" s="45"/>
      <c r="VNB50" s="45"/>
      <c r="VNC50" s="45"/>
      <c r="VND50" s="45"/>
      <c r="VNE50" s="45"/>
      <c r="VNF50" s="45"/>
      <c r="VNG50" s="45"/>
      <c r="VNH50" s="45"/>
      <c r="VNI50" s="45"/>
      <c r="VNJ50" s="45"/>
      <c r="VNK50" s="45"/>
      <c r="VNL50" s="45"/>
      <c r="VNM50" s="45"/>
      <c r="VNN50" s="45"/>
      <c r="VNO50" s="45"/>
      <c r="VNP50" s="45"/>
      <c r="VNQ50" s="45"/>
      <c r="VNR50" s="45"/>
      <c r="VNS50" s="45"/>
      <c r="VNT50" s="45"/>
      <c r="VNU50" s="45"/>
      <c r="VNV50" s="45"/>
      <c r="VNW50" s="45"/>
      <c r="VNX50" s="45"/>
      <c r="VNY50" s="45"/>
      <c r="VNZ50" s="45"/>
      <c r="VOA50" s="45"/>
      <c r="VOB50" s="45"/>
      <c r="VOC50" s="45"/>
      <c r="VOD50" s="45"/>
      <c r="VOE50" s="45"/>
      <c r="VOF50" s="45"/>
      <c r="VOG50" s="45"/>
      <c r="VOH50" s="45"/>
      <c r="VOI50" s="45"/>
      <c r="VOJ50" s="45"/>
      <c r="VOK50" s="45"/>
      <c r="VOL50" s="45"/>
      <c r="VOM50" s="45"/>
      <c r="VON50" s="45"/>
      <c r="VOO50" s="45"/>
      <c r="VOP50" s="45"/>
      <c r="VOQ50" s="45"/>
      <c r="VOR50" s="45"/>
      <c r="VOS50" s="45"/>
      <c r="VOT50" s="45"/>
      <c r="VOU50" s="45"/>
      <c r="VOV50" s="45"/>
      <c r="VOW50" s="45"/>
      <c r="VOX50" s="45"/>
      <c r="VOY50" s="45"/>
      <c r="VOZ50" s="45"/>
      <c r="VPA50" s="45"/>
      <c r="VPB50" s="45"/>
      <c r="VPC50" s="45"/>
      <c r="VPD50" s="45"/>
      <c r="VPE50" s="45"/>
      <c r="VPF50" s="45"/>
      <c r="VPG50" s="45"/>
      <c r="VPH50" s="45"/>
      <c r="VPI50" s="45"/>
      <c r="VPJ50" s="45"/>
      <c r="VPK50" s="45"/>
      <c r="VPL50" s="45"/>
      <c r="VPM50" s="45"/>
      <c r="VPN50" s="45"/>
      <c r="VPO50" s="45"/>
      <c r="VPP50" s="45"/>
      <c r="VPQ50" s="45"/>
      <c r="VPR50" s="45"/>
      <c r="VPS50" s="45"/>
      <c r="VPT50" s="45"/>
      <c r="VPU50" s="45"/>
      <c r="VPV50" s="45"/>
      <c r="VPW50" s="45"/>
      <c r="VPX50" s="45"/>
      <c r="VPY50" s="45"/>
      <c r="VPZ50" s="45"/>
      <c r="VQA50" s="45"/>
      <c r="VQB50" s="45"/>
      <c r="VQC50" s="45"/>
      <c r="VQD50" s="45"/>
      <c r="VQE50" s="45"/>
      <c r="VQF50" s="45"/>
      <c r="VQG50" s="45"/>
      <c r="VQH50" s="45"/>
      <c r="VQI50" s="45"/>
      <c r="VQJ50" s="45"/>
      <c r="VQK50" s="45"/>
      <c r="VQL50" s="45"/>
      <c r="VQM50" s="45"/>
      <c r="VQN50" s="45"/>
      <c r="VQO50" s="45"/>
      <c r="VQP50" s="45"/>
      <c r="VQQ50" s="45"/>
      <c r="VQR50" s="45"/>
      <c r="VQS50" s="45"/>
      <c r="VQT50" s="45"/>
      <c r="VQU50" s="45"/>
      <c r="VQV50" s="45"/>
      <c r="VQW50" s="45"/>
      <c r="VQX50" s="45"/>
      <c r="VQY50" s="45"/>
      <c r="VQZ50" s="45"/>
      <c r="VRA50" s="45"/>
      <c r="VRB50" s="45"/>
      <c r="VRC50" s="45"/>
      <c r="VRD50" s="45"/>
      <c r="VRE50" s="45"/>
      <c r="VRF50" s="45"/>
      <c r="VRG50" s="45"/>
      <c r="VRH50" s="45"/>
      <c r="VRI50" s="45"/>
      <c r="VRJ50" s="45"/>
      <c r="VRK50" s="45"/>
      <c r="VRL50" s="45"/>
      <c r="VRM50" s="45"/>
      <c r="VRN50" s="45"/>
      <c r="VRO50" s="45"/>
      <c r="VRP50" s="45"/>
      <c r="VRQ50" s="45"/>
      <c r="VRR50" s="45"/>
      <c r="VRS50" s="45"/>
      <c r="VRT50" s="45"/>
      <c r="VRU50" s="45"/>
      <c r="VRV50" s="45"/>
      <c r="VRW50" s="45"/>
      <c r="VRX50" s="45"/>
      <c r="VRY50" s="45"/>
      <c r="VRZ50" s="45"/>
      <c r="VSA50" s="45"/>
      <c r="VSB50" s="45"/>
      <c r="VSC50" s="45"/>
      <c r="VSD50" s="45"/>
      <c r="VSE50" s="45"/>
      <c r="VSF50" s="45"/>
      <c r="VSG50" s="45"/>
      <c r="VSH50" s="45"/>
      <c r="VSI50" s="45"/>
      <c r="VSJ50" s="45"/>
      <c r="VSK50" s="45"/>
      <c r="VSL50" s="45"/>
      <c r="VSM50" s="45"/>
      <c r="VSN50" s="45"/>
      <c r="VSO50" s="45"/>
      <c r="VSP50" s="45"/>
      <c r="VSQ50" s="45"/>
      <c r="VSR50" s="45"/>
      <c r="VSS50" s="45"/>
      <c r="VST50" s="45"/>
      <c r="VSU50" s="45"/>
      <c r="VSV50" s="45"/>
      <c r="VSW50" s="45"/>
      <c r="VSX50" s="45"/>
      <c r="VSY50" s="45"/>
      <c r="VSZ50" s="45"/>
      <c r="VTA50" s="45"/>
      <c r="VTB50" s="45"/>
      <c r="VTC50" s="45"/>
      <c r="VTD50" s="45"/>
      <c r="VTE50" s="45"/>
      <c r="VTF50" s="45"/>
      <c r="VTG50" s="45"/>
      <c r="VTH50" s="45"/>
      <c r="VTI50" s="45"/>
      <c r="VTJ50" s="45"/>
      <c r="VTK50" s="45"/>
      <c r="VTL50" s="45"/>
      <c r="VTM50" s="45"/>
      <c r="VTN50" s="45"/>
      <c r="VTO50" s="45"/>
      <c r="VTP50" s="45"/>
      <c r="VTQ50" s="45"/>
      <c r="VTR50" s="45"/>
      <c r="VTS50" s="45"/>
      <c r="VTT50" s="45"/>
      <c r="VTU50" s="45"/>
      <c r="VTV50" s="45"/>
      <c r="VTW50" s="45"/>
      <c r="VTX50" s="45"/>
      <c r="VTY50" s="45"/>
      <c r="VTZ50" s="45"/>
      <c r="VUA50" s="45"/>
      <c r="VUB50" s="45"/>
      <c r="VUC50" s="45"/>
      <c r="VUD50" s="45"/>
      <c r="VUE50" s="45"/>
      <c r="VUF50" s="45"/>
      <c r="VUG50" s="45"/>
      <c r="VUH50" s="45"/>
      <c r="VUI50" s="45"/>
      <c r="VUJ50" s="45"/>
      <c r="VUK50" s="45"/>
      <c r="VUL50" s="45"/>
      <c r="VUM50" s="45"/>
      <c r="VUN50" s="45"/>
      <c r="VUO50" s="45"/>
      <c r="VUP50" s="45"/>
      <c r="VUQ50" s="45"/>
      <c r="VUR50" s="45"/>
      <c r="VUS50" s="45"/>
      <c r="VUT50" s="45"/>
      <c r="VUU50" s="45"/>
      <c r="VUV50" s="45"/>
      <c r="VUW50" s="45"/>
      <c r="VUX50" s="45"/>
      <c r="VUY50" s="45"/>
      <c r="VUZ50" s="45"/>
      <c r="VVA50" s="45"/>
      <c r="VVB50" s="45"/>
      <c r="VVC50" s="45"/>
      <c r="VVD50" s="45"/>
      <c r="VVE50" s="45"/>
      <c r="VVF50" s="45"/>
      <c r="VVG50" s="45"/>
      <c r="VVH50" s="45"/>
      <c r="VVI50" s="45"/>
      <c r="VVJ50" s="45"/>
      <c r="VVK50" s="45"/>
      <c r="VVL50" s="45"/>
      <c r="VVM50" s="45"/>
      <c r="VVN50" s="45"/>
      <c r="VVO50" s="45"/>
      <c r="VVP50" s="45"/>
      <c r="VVQ50" s="45"/>
      <c r="VVR50" s="45"/>
      <c r="VVS50" s="45"/>
      <c r="VVT50" s="45"/>
      <c r="VVU50" s="45"/>
      <c r="VVV50" s="45"/>
      <c r="VVW50" s="45"/>
      <c r="VVX50" s="45"/>
      <c r="VVY50" s="45"/>
      <c r="VVZ50" s="45"/>
      <c r="VWA50" s="45"/>
      <c r="VWB50" s="45"/>
      <c r="VWC50" s="45"/>
      <c r="VWD50" s="45"/>
      <c r="VWE50" s="45"/>
      <c r="VWF50" s="45"/>
      <c r="VWG50" s="45"/>
      <c r="VWH50" s="45"/>
      <c r="VWI50" s="45"/>
      <c r="VWJ50" s="45"/>
      <c r="VWK50" s="45"/>
      <c r="VWL50" s="45"/>
      <c r="VWM50" s="45"/>
      <c r="VWN50" s="45"/>
      <c r="VWO50" s="45"/>
      <c r="VWP50" s="45"/>
      <c r="VWQ50" s="45"/>
      <c r="VWR50" s="45"/>
      <c r="VWS50" s="45"/>
      <c r="VWT50" s="45"/>
      <c r="VWU50" s="45"/>
      <c r="VWV50" s="45"/>
      <c r="VWW50" s="45"/>
      <c r="VWX50" s="45"/>
      <c r="VWY50" s="45"/>
      <c r="VWZ50" s="45"/>
      <c r="VXA50" s="45"/>
      <c r="VXB50" s="45"/>
      <c r="VXC50" s="45"/>
      <c r="VXD50" s="45"/>
      <c r="VXE50" s="45"/>
      <c r="VXF50" s="45"/>
      <c r="VXG50" s="45"/>
      <c r="VXH50" s="45"/>
      <c r="VXI50" s="45"/>
      <c r="VXJ50" s="45"/>
      <c r="VXK50" s="45"/>
      <c r="VXL50" s="45"/>
      <c r="VXM50" s="45"/>
      <c r="VXN50" s="45"/>
      <c r="VXO50" s="45"/>
      <c r="VXP50" s="45"/>
      <c r="VXQ50" s="45"/>
      <c r="VXR50" s="45"/>
      <c r="VXS50" s="45"/>
      <c r="VXT50" s="45"/>
      <c r="VXU50" s="45"/>
      <c r="VXV50" s="45"/>
      <c r="VXW50" s="45"/>
      <c r="VXX50" s="45"/>
      <c r="VXY50" s="45"/>
      <c r="VXZ50" s="45"/>
      <c r="VYA50" s="45"/>
      <c r="VYB50" s="45"/>
      <c r="VYC50" s="45"/>
      <c r="VYD50" s="45"/>
      <c r="VYE50" s="45"/>
      <c r="VYF50" s="45"/>
      <c r="VYG50" s="45"/>
      <c r="VYH50" s="45"/>
      <c r="VYI50" s="45"/>
      <c r="VYJ50" s="45"/>
      <c r="VYK50" s="45"/>
      <c r="VYL50" s="45"/>
      <c r="VYM50" s="45"/>
      <c r="VYN50" s="45"/>
      <c r="VYO50" s="45"/>
      <c r="VYP50" s="45"/>
      <c r="VYQ50" s="45"/>
      <c r="VYR50" s="45"/>
      <c r="VYS50" s="45"/>
      <c r="VYT50" s="45"/>
      <c r="VYU50" s="45"/>
      <c r="VYV50" s="45"/>
      <c r="VYW50" s="45"/>
      <c r="VYX50" s="45"/>
      <c r="VYY50" s="45"/>
      <c r="VYZ50" s="45"/>
      <c r="VZA50" s="45"/>
      <c r="VZB50" s="45"/>
      <c r="VZC50" s="45"/>
      <c r="VZD50" s="45"/>
      <c r="VZE50" s="45"/>
      <c r="VZF50" s="45"/>
      <c r="VZG50" s="45"/>
      <c r="VZH50" s="45"/>
      <c r="VZI50" s="45"/>
      <c r="VZJ50" s="45"/>
      <c r="VZK50" s="45"/>
      <c r="VZL50" s="45"/>
      <c r="VZM50" s="45"/>
      <c r="VZN50" s="45"/>
      <c r="VZO50" s="45"/>
      <c r="VZP50" s="45"/>
      <c r="VZQ50" s="45"/>
      <c r="VZR50" s="45"/>
      <c r="VZS50" s="45"/>
      <c r="VZT50" s="45"/>
      <c r="VZU50" s="45"/>
      <c r="VZV50" s="45"/>
      <c r="VZW50" s="45"/>
      <c r="VZX50" s="45"/>
      <c r="VZY50" s="45"/>
      <c r="VZZ50" s="45"/>
      <c r="WAA50" s="45"/>
      <c r="WAB50" s="45"/>
      <c r="WAC50" s="45"/>
      <c r="WAD50" s="45"/>
      <c r="WAE50" s="45"/>
      <c r="WAF50" s="45"/>
      <c r="WAG50" s="45"/>
      <c r="WAH50" s="45"/>
      <c r="WAI50" s="45"/>
      <c r="WAJ50" s="45"/>
      <c r="WAK50" s="45"/>
      <c r="WAL50" s="45"/>
      <c r="WAM50" s="45"/>
      <c r="WAN50" s="45"/>
      <c r="WAO50" s="45"/>
      <c r="WAP50" s="45"/>
      <c r="WAQ50" s="45"/>
      <c r="WAR50" s="45"/>
      <c r="WAS50" s="45"/>
      <c r="WAT50" s="45"/>
      <c r="WAU50" s="45"/>
      <c r="WAV50" s="45"/>
      <c r="WAW50" s="45"/>
      <c r="WAX50" s="45"/>
      <c r="WAY50" s="45"/>
      <c r="WAZ50" s="45"/>
      <c r="WBA50" s="45"/>
      <c r="WBB50" s="45"/>
      <c r="WBC50" s="45"/>
      <c r="WBD50" s="45"/>
      <c r="WBE50" s="45"/>
      <c r="WBF50" s="45"/>
      <c r="WBG50" s="45"/>
      <c r="WBH50" s="45"/>
      <c r="WBI50" s="45"/>
      <c r="WBJ50" s="45"/>
      <c r="WBK50" s="45"/>
      <c r="WBL50" s="45"/>
      <c r="WBM50" s="45"/>
      <c r="WBN50" s="45"/>
      <c r="WBO50" s="45"/>
      <c r="WBP50" s="45"/>
      <c r="WBQ50" s="45"/>
      <c r="WBR50" s="45"/>
      <c r="WBS50" s="45"/>
      <c r="WBT50" s="45"/>
      <c r="WBU50" s="45"/>
      <c r="WBV50" s="45"/>
      <c r="WBW50" s="45"/>
      <c r="WBX50" s="45"/>
      <c r="WBY50" s="45"/>
      <c r="WBZ50" s="45"/>
      <c r="WCA50" s="45"/>
      <c r="WCB50" s="45"/>
      <c r="WCC50" s="45"/>
      <c r="WCD50" s="45"/>
      <c r="WCE50" s="45"/>
      <c r="WCF50" s="45"/>
      <c r="WCG50" s="45"/>
      <c r="WCH50" s="45"/>
      <c r="WCI50" s="45"/>
      <c r="WCJ50" s="45"/>
      <c r="WCK50" s="45"/>
      <c r="WCL50" s="45"/>
      <c r="WCM50" s="45"/>
      <c r="WCN50" s="45"/>
      <c r="WCO50" s="45"/>
      <c r="WCP50" s="45"/>
      <c r="WCQ50" s="45"/>
      <c r="WCR50" s="45"/>
      <c r="WCS50" s="45"/>
      <c r="WCT50" s="45"/>
      <c r="WCU50" s="45"/>
      <c r="WCV50" s="45"/>
      <c r="WCW50" s="45"/>
      <c r="WCX50" s="45"/>
      <c r="WCY50" s="45"/>
      <c r="WCZ50" s="45"/>
      <c r="WDA50" s="45"/>
      <c r="WDB50" s="45"/>
      <c r="WDC50" s="45"/>
      <c r="WDD50" s="45"/>
      <c r="WDE50" s="45"/>
      <c r="WDF50" s="45"/>
      <c r="WDG50" s="45"/>
      <c r="WDH50" s="45"/>
      <c r="WDI50" s="45"/>
      <c r="WDJ50" s="45"/>
      <c r="WDK50" s="45"/>
      <c r="WDL50" s="45"/>
      <c r="WDM50" s="45"/>
      <c r="WDN50" s="45"/>
      <c r="WDO50" s="45"/>
      <c r="WDP50" s="45"/>
      <c r="WDQ50" s="45"/>
      <c r="WDR50" s="45"/>
      <c r="WDS50" s="45"/>
      <c r="WDT50" s="45"/>
      <c r="WDU50" s="45"/>
      <c r="WDV50" s="45"/>
      <c r="WDW50" s="45"/>
      <c r="WDX50" s="45"/>
      <c r="WDY50" s="45"/>
      <c r="WDZ50" s="45"/>
      <c r="WEA50" s="45"/>
      <c r="WEB50" s="45"/>
      <c r="WEC50" s="45"/>
      <c r="WED50" s="45"/>
      <c r="WEE50" s="45"/>
      <c r="WEF50" s="45"/>
      <c r="WEG50" s="45"/>
      <c r="WEH50" s="45"/>
      <c r="WEI50" s="45"/>
      <c r="WEJ50" s="45"/>
      <c r="WEK50" s="45"/>
      <c r="WEL50" s="45"/>
      <c r="WEM50" s="45"/>
      <c r="WEN50" s="45"/>
      <c r="WEO50" s="45"/>
      <c r="WEP50" s="45"/>
      <c r="WEQ50" s="45"/>
      <c r="WER50" s="45"/>
      <c r="WES50" s="45"/>
      <c r="WET50" s="45"/>
      <c r="WEU50" s="45"/>
      <c r="WEV50" s="45"/>
      <c r="WEW50" s="45"/>
      <c r="WEX50" s="45"/>
      <c r="WEY50" s="45"/>
      <c r="WEZ50" s="45"/>
      <c r="WFA50" s="45"/>
      <c r="WFB50" s="45"/>
      <c r="WFC50" s="45"/>
      <c r="WFD50" s="45"/>
      <c r="WFE50" s="45"/>
      <c r="WFF50" s="45"/>
      <c r="WFG50" s="45"/>
      <c r="WFH50" s="45"/>
      <c r="WFI50" s="45"/>
      <c r="WFJ50" s="45"/>
      <c r="WFK50" s="45"/>
      <c r="WFL50" s="45"/>
      <c r="WFM50" s="45"/>
      <c r="WFN50" s="45"/>
      <c r="WFO50" s="45"/>
      <c r="WFP50" s="45"/>
      <c r="WFQ50" s="45"/>
      <c r="WFR50" s="45"/>
      <c r="WFS50" s="45"/>
      <c r="WFT50" s="45"/>
      <c r="WFU50" s="45"/>
      <c r="WFV50" s="45"/>
      <c r="WFW50" s="45"/>
      <c r="WFX50" s="45"/>
      <c r="WFY50" s="45"/>
      <c r="WFZ50" s="45"/>
      <c r="WGA50" s="45"/>
      <c r="WGB50" s="45"/>
      <c r="WGC50" s="45"/>
      <c r="WGD50" s="45"/>
      <c r="WGE50" s="45"/>
      <c r="WGF50" s="45"/>
      <c r="WGG50" s="45"/>
      <c r="WGH50" s="45"/>
      <c r="WGI50" s="45"/>
      <c r="WGJ50" s="45"/>
      <c r="WGK50" s="45"/>
      <c r="WGL50" s="45"/>
      <c r="WGM50" s="45"/>
      <c r="WGN50" s="45"/>
      <c r="WGO50" s="45"/>
      <c r="WGP50" s="45"/>
      <c r="WGQ50" s="45"/>
      <c r="WGR50" s="45"/>
      <c r="WGS50" s="45"/>
      <c r="WGT50" s="45"/>
      <c r="WGU50" s="45"/>
      <c r="WGV50" s="45"/>
      <c r="WGW50" s="45"/>
      <c r="WGX50" s="45"/>
      <c r="WGY50" s="45"/>
      <c r="WGZ50" s="45"/>
      <c r="WHA50" s="45"/>
      <c r="WHB50" s="45"/>
      <c r="WHC50" s="45"/>
      <c r="WHD50" s="45"/>
      <c r="WHE50" s="45"/>
      <c r="WHF50" s="45"/>
      <c r="WHG50" s="45"/>
      <c r="WHH50" s="45"/>
      <c r="WHI50" s="45"/>
      <c r="WHJ50" s="45"/>
      <c r="WHK50" s="45"/>
      <c r="WHL50" s="45"/>
      <c r="WHM50" s="45"/>
      <c r="WHN50" s="45"/>
      <c r="WHO50" s="45"/>
      <c r="WHP50" s="45"/>
      <c r="WHQ50" s="45"/>
      <c r="WHR50" s="45"/>
      <c r="WHS50" s="45"/>
      <c r="WHT50" s="45"/>
      <c r="WHU50" s="45"/>
      <c r="WHV50" s="45"/>
      <c r="WHW50" s="45"/>
      <c r="WHX50" s="45"/>
      <c r="WHY50" s="45"/>
      <c r="WHZ50" s="45"/>
      <c r="WIA50" s="45"/>
      <c r="WIB50" s="45"/>
      <c r="WIC50" s="45"/>
      <c r="WID50" s="45"/>
      <c r="WIE50" s="45"/>
      <c r="WIF50" s="45"/>
      <c r="WIG50" s="45"/>
      <c r="WIH50" s="45"/>
      <c r="WII50" s="45"/>
      <c r="WIJ50" s="45"/>
      <c r="WIK50" s="45"/>
      <c r="WIL50" s="45"/>
      <c r="WIM50" s="45"/>
      <c r="WIN50" s="45"/>
      <c r="WIO50" s="45"/>
      <c r="WIP50" s="45"/>
      <c r="WIQ50" s="45"/>
      <c r="WIR50" s="45"/>
      <c r="WIS50" s="45"/>
      <c r="WIT50" s="45"/>
      <c r="WIU50" s="45"/>
      <c r="WIV50" s="45"/>
      <c r="WIW50" s="45"/>
      <c r="WIX50" s="45"/>
      <c r="WIY50" s="45"/>
      <c r="WIZ50" s="45"/>
      <c r="WJA50" s="45"/>
      <c r="WJB50" s="45"/>
      <c r="WJC50" s="45"/>
      <c r="WJD50" s="45"/>
      <c r="WJE50" s="45"/>
      <c r="WJF50" s="45"/>
      <c r="WJG50" s="45"/>
      <c r="WJH50" s="45"/>
      <c r="WJI50" s="45"/>
      <c r="WJJ50" s="45"/>
      <c r="WJK50" s="45"/>
      <c r="WJL50" s="45"/>
      <c r="WJM50" s="45"/>
      <c r="WJN50" s="45"/>
      <c r="WJO50" s="45"/>
      <c r="WJP50" s="45"/>
      <c r="WJQ50" s="45"/>
      <c r="WJR50" s="45"/>
      <c r="WJS50" s="45"/>
      <c r="WJT50" s="45"/>
      <c r="WJU50" s="45"/>
      <c r="WJV50" s="45"/>
      <c r="WJW50" s="45"/>
      <c r="WJX50" s="45"/>
      <c r="WJY50" s="45"/>
      <c r="WJZ50" s="45"/>
      <c r="WKA50" s="45"/>
      <c r="WKB50" s="45"/>
      <c r="WKC50" s="45"/>
      <c r="WKD50" s="45"/>
      <c r="WKE50" s="45"/>
      <c r="WKF50" s="45"/>
      <c r="WKG50" s="45"/>
      <c r="WKH50" s="45"/>
      <c r="WKI50" s="45"/>
      <c r="WKJ50" s="45"/>
      <c r="WKK50" s="45"/>
      <c r="WKL50" s="45"/>
      <c r="WKM50" s="45"/>
      <c r="WKN50" s="45"/>
      <c r="WKO50" s="45"/>
      <c r="WKP50" s="45"/>
      <c r="WKQ50" s="45"/>
      <c r="WKR50" s="45"/>
      <c r="WKS50" s="45"/>
      <c r="WKT50" s="45"/>
      <c r="WKU50" s="45"/>
      <c r="WKV50" s="45"/>
      <c r="WKW50" s="45"/>
      <c r="WKX50" s="45"/>
      <c r="WKY50" s="45"/>
      <c r="WKZ50" s="45"/>
      <c r="WLA50" s="45"/>
      <c r="WLB50" s="45"/>
      <c r="WLC50" s="45"/>
      <c r="WLD50" s="45"/>
      <c r="WLE50" s="45"/>
      <c r="WLF50" s="45"/>
      <c r="WLG50" s="45"/>
      <c r="WLH50" s="45"/>
      <c r="WLI50" s="45"/>
      <c r="WLJ50" s="45"/>
      <c r="WLK50" s="45"/>
      <c r="WLL50" s="45"/>
      <c r="WLM50" s="45"/>
      <c r="WLN50" s="45"/>
      <c r="WLO50" s="45"/>
      <c r="WLP50" s="45"/>
      <c r="WLQ50" s="45"/>
      <c r="WLR50" s="45"/>
      <c r="WLS50" s="45"/>
      <c r="WLT50" s="45"/>
      <c r="WLU50" s="45"/>
      <c r="WLV50" s="45"/>
      <c r="WLW50" s="45"/>
      <c r="WLX50" s="45"/>
      <c r="WLY50" s="45"/>
      <c r="WLZ50" s="45"/>
      <c r="WMA50" s="45"/>
      <c r="WMB50" s="45"/>
      <c r="WMC50" s="45"/>
      <c r="WMD50" s="45"/>
      <c r="WME50" s="45"/>
      <c r="WMF50" s="45"/>
      <c r="WMG50" s="45"/>
      <c r="WMH50" s="45"/>
      <c r="WMI50" s="45"/>
      <c r="WMJ50" s="45"/>
      <c r="WMK50" s="45"/>
      <c r="WML50" s="45"/>
      <c r="WMM50" s="45"/>
      <c r="WMN50" s="45"/>
      <c r="WMO50" s="45"/>
      <c r="WMP50" s="45"/>
      <c r="WMQ50" s="45"/>
      <c r="WMR50" s="45"/>
      <c r="WMS50" s="45"/>
      <c r="WMT50" s="45"/>
      <c r="WMU50" s="45"/>
      <c r="WMV50" s="45"/>
      <c r="WMW50" s="45"/>
      <c r="WMX50" s="45"/>
      <c r="WMY50" s="45"/>
      <c r="WMZ50" s="45"/>
      <c r="WNA50" s="45"/>
      <c r="WNB50" s="45"/>
      <c r="WNC50" s="45"/>
      <c r="WND50" s="45"/>
      <c r="WNE50" s="45"/>
      <c r="WNF50" s="45"/>
      <c r="WNG50" s="45"/>
      <c r="WNH50" s="45"/>
      <c r="WNI50" s="45"/>
      <c r="WNJ50" s="45"/>
      <c r="WNK50" s="45"/>
      <c r="WNL50" s="45"/>
      <c r="WNM50" s="45"/>
      <c r="WNN50" s="45"/>
      <c r="WNO50" s="45"/>
      <c r="WNP50" s="45"/>
      <c r="WNQ50" s="45"/>
      <c r="WNR50" s="45"/>
      <c r="WNS50" s="45"/>
      <c r="WNT50" s="45"/>
      <c r="WNU50" s="45"/>
      <c r="WNV50" s="45"/>
      <c r="WNW50" s="45"/>
      <c r="WNX50" s="45"/>
      <c r="WNY50" s="45"/>
      <c r="WNZ50" s="45"/>
      <c r="WOA50" s="45"/>
      <c r="WOB50" s="45"/>
      <c r="WOC50" s="45"/>
      <c r="WOD50" s="45"/>
      <c r="WOE50" s="45"/>
      <c r="WOF50" s="45"/>
      <c r="WOG50" s="45"/>
      <c r="WOH50" s="45"/>
      <c r="WOI50" s="45"/>
      <c r="WOJ50" s="45"/>
      <c r="WOK50" s="45"/>
      <c r="WOL50" s="45"/>
      <c r="WOM50" s="45"/>
      <c r="WON50" s="45"/>
      <c r="WOO50" s="45"/>
      <c r="WOP50" s="45"/>
      <c r="WOQ50" s="45"/>
      <c r="WOR50" s="45"/>
      <c r="WOS50" s="45"/>
      <c r="WOT50" s="45"/>
      <c r="WOU50" s="45"/>
      <c r="WOV50" s="45"/>
      <c r="WOW50" s="45"/>
      <c r="WOX50" s="45"/>
      <c r="WOY50" s="45"/>
      <c r="WOZ50" s="45"/>
      <c r="WPA50" s="45"/>
      <c r="WPB50" s="45"/>
      <c r="WPC50" s="45"/>
      <c r="WPD50" s="45"/>
      <c r="WPE50" s="45"/>
      <c r="WPF50" s="45"/>
      <c r="WPG50" s="45"/>
      <c r="WPH50" s="45"/>
      <c r="WPI50" s="45"/>
      <c r="WPJ50" s="45"/>
      <c r="WPK50" s="45"/>
      <c r="WPL50" s="45"/>
      <c r="WPM50" s="45"/>
      <c r="WPN50" s="45"/>
      <c r="WPO50" s="45"/>
      <c r="WPP50" s="45"/>
      <c r="WPQ50" s="45"/>
      <c r="WPR50" s="45"/>
      <c r="WPS50" s="45"/>
      <c r="WPT50" s="45"/>
      <c r="WPU50" s="45"/>
      <c r="WPV50" s="45"/>
      <c r="WPW50" s="45"/>
      <c r="WPX50" s="45"/>
      <c r="WPY50" s="45"/>
      <c r="WPZ50" s="45"/>
      <c r="WQA50" s="45"/>
      <c r="WQB50" s="45"/>
      <c r="WQC50" s="45"/>
      <c r="WQD50" s="45"/>
      <c r="WQE50" s="45"/>
      <c r="WQF50" s="45"/>
      <c r="WQG50" s="45"/>
      <c r="WQH50" s="45"/>
      <c r="WQI50" s="45"/>
      <c r="WQJ50" s="45"/>
      <c r="WQK50" s="45"/>
      <c r="WQL50" s="45"/>
      <c r="WQM50" s="45"/>
      <c r="WQN50" s="45"/>
      <c r="WQO50" s="45"/>
      <c r="WQP50" s="45"/>
      <c r="WQQ50" s="45"/>
      <c r="WQR50" s="45"/>
      <c r="WQS50" s="45"/>
      <c r="WQT50" s="45"/>
      <c r="WQU50" s="45"/>
      <c r="WQV50" s="45"/>
      <c r="WQW50" s="45"/>
      <c r="WQX50" s="45"/>
      <c r="WQY50" s="45"/>
      <c r="WQZ50" s="45"/>
      <c r="WRA50" s="45"/>
      <c r="WRB50" s="45"/>
      <c r="WRC50" s="45"/>
      <c r="WRD50" s="45"/>
      <c r="WRE50" s="45"/>
      <c r="WRF50" s="45"/>
      <c r="WRG50" s="45"/>
      <c r="WRH50" s="45"/>
      <c r="WRI50" s="45"/>
      <c r="WRJ50" s="45"/>
      <c r="WRK50" s="45"/>
      <c r="WRL50" s="45"/>
      <c r="WRM50" s="45"/>
      <c r="WRN50" s="45"/>
      <c r="WRO50" s="45"/>
      <c r="WRP50" s="45"/>
      <c r="WRQ50" s="45"/>
      <c r="WRR50" s="45"/>
      <c r="WRS50" s="45"/>
      <c r="WRT50" s="45"/>
      <c r="WRU50" s="45"/>
      <c r="WRV50" s="45"/>
      <c r="WRW50" s="45"/>
      <c r="WRX50" s="45"/>
      <c r="WRY50" s="45"/>
      <c r="WRZ50" s="45"/>
      <c r="WSA50" s="45"/>
      <c r="WSB50" s="45"/>
      <c r="WSC50" s="45"/>
      <c r="WSD50" s="45"/>
      <c r="WSE50" s="45"/>
      <c r="WSF50" s="45"/>
      <c r="WSG50" s="45"/>
      <c r="WSH50" s="45"/>
      <c r="WSI50" s="45"/>
      <c r="WSJ50" s="45"/>
      <c r="WSK50" s="45"/>
      <c r="WSL50" s="45"/>
      <c r="WSM50" s="45"/>
      <c r="WSN50" s="45"/>
      <c r="WSO50" s="45"/>
      <c r="WSP50" s="45"/>
      <c r="WSQ50" s="45"/>
      <c r="WSR50" s="45"/>
      <c r="WSS50" s="45"/>
      <c r="WST50" s="45"/>
      <c r="WSU50" s="45"/>
      <c r="WSV50" s="45"/>
      <c r="WSW50" s="45"/>
      <c r="WSX50" s="45"/>
      <c r="WSY50" s="45"/>
      <c r="WSZ50" s="45"/>
      <c r="WTA50" s="45"/>
      <c r="WTB50" s="45"/>
      <c r="WTC50" s="45"/>
      <c r="WTD50" s="45"/>
      <c r="WTE50" s="45"/>
      <c r="WTF50" s="45"/>
      <c r="WTG50" s="45"/>
      <c r="WTH50" s="45"/>
      <c r="WTI50" s="45"/>
      <c r="WTJ50" s="45"/>
      <c r="WTK50" s="45"/>
      <c r="WTL50" s="45"/>
      <c r="WTM50" s="45"/>
      <c r="WTN50" s="45"/>
      <c r="WTO50" s="45"/>
      <c r="WTP50" s="45"/>
      <c r="WTQ50" s="45"/>
      <c r="WTR50" s="45"/>
      <c r="WTS50" s="45"/>
      <c r="WTT50" s="45"/>
      <c r="WTU50" s="45"/>
      <c r="WTV50" s="45"/>
      <c r="WTW50" s="45"/>
      <c r="WTX50" s="45"/>
      <c r="WTY50" s="45"/>
      <c r="WTZ50" s="45"/>
      <c r="WUA50" s="45"/>
      <c r="WUB50" s="45"/>
      <c r="WUC50" s="45"/>
      <c r="WUD50" s="45"/>
      <c r="WUE50" s="45"/>
      <c r="WUF50" s="45"/>
      <c r="WUG50" s="45"/>
      <c r="WUH50" s="45"/>
      <c r="WUI50" s="45"/>
      <c r="WUJ50" s="45"/>
      <c r="WUK50" s="45"/>
      <c r="WUL50" s="45"/>
      <c r="WUM50" s="45"/>
      <c r="WUN50" s="45"/>
      <c r="WUO50" s="45"/>
      <c r="WUP50" s="45"/>
      <c r="WUQ50" s="45"/>
      <c r="WUR50" s="45"/>
      <c r="WUS50" s="45"/>
      <c r="WUT50" s="45"/>
      <c r="WUU50" s="45"/>
      <c r="WUV50" s="45"/>
      <c r="WUW50" s="45"/>
      <c r="WUX50" s="45"/>
      <c r="WUY50" s="45"/>
      <c r="WUZ50" s="45"/>
      <c r="WVA50" s="45"/>
      <c r="WVB50" s="45"/>
      <c r="WVC50" s="45"/>
      <c r="WVD50" s="45"/>
      <c r="WVE50" s="45"/>
      <c r="WVF50" s="45"/>
      <c r="WVG50" s="45"/>
      <c r="WVH50" s="45"/>
      <c r="WVI50" s="45"/>
      <c r="WVJ50" s="45"/>
      <c r="WVK50" s="45"/>
      <c r="WVL50" s="45"/>
      <c r="WVM50" s="45"/>
      <c r="WVN50" s="45"/>
      <c r="WVO50" s="45"/>
      <c r="WVP50" s="45"/>
      <c r="WVQ50" s="45"/>
      <c r="WVR50" s="45"/>
      <c r="WVS50" s="45"/>
      <c r="WVT50" s="45"/>
      <c r="WVU50" s="45"/>
      <c r="WVV50" s="45"/>
      <c r="WVW50" s="45"/>
      <c r="WVX50" s="45"/>
      <c r="WVY50" s="45"/>
      <c r="WVZ50" s="45"/>
      <c r="WWA50" s="45"/>
      <c r="WWB50" s="45"/>
      <c r="WWC50" s="45"/>
      <c r="WWD50" s="45"/>
      <c r="WWE50" s="45"/>
      <c r="WWF50" s="45"/>
      <c r="WWG50" s="45"/>
      <c r="WWH50" s="45"/>
      <c r="WWI50" s="45"/>
      <c r="WWJ50" s="45"/>
      <c r="WWK50" s="45"/>
      <c r="WWL50" s="45"/>
      <c r="WWM50" s="45"/>
      <c r="WWN50" s="45"/>
      <c r="WWO50" s="45"/>
      <c r="WWP50" s="45"/>
      <c r="WWQ50" s="45"/>
      <c r="WWR50" s="45"/>
      <c r="WWS50" s="45"/>
      <c r="WWT50" s="45"/>
      <c r="WWU50" s="45"/>
      <c r="WWV50" s="45"/>
      <c r="WWW50" s="45"/>
      <c r="WWX50" s="45"/>
      <c r="WWY50" s="45"/>
      <c r="WWZ50" s="45"/>
      <c r="WXA50" s="45"/>
      <c r="WXB50" s="45"/>
      <c r="WXC50" s="45"/>
      <c r="WXD50" s="45"/>
      <c r="WXE50" s="45"/>
      <c r="WXF50" s="45"/>
      <c r="WXG50" s="45"/>
      <c r="WXH50" s="45"/>
      <c r="WXI50" s="45"/>
      <c r="WXJ50" s="45"/>
      <c r="WXK50" s="45"/>
      <c r="WXL50" s="45"/>
      <c r="WXM50" s="45"/>
      <c r="WXN50" s="45"/>
      <c r="WXO50" s="45"/>
      <c r="WXP50" s="45"/>
      <c r="WXQ50" s="45"/>
      <c r="WXR50" s="45"/>
      <c r="WXS50" s="45"/>
      <c r="WXT50" s="45"/>
      <c r="WXU50" s="45"/>
      <c r="WXV50" s="45"/>
      <c r="WXW50" s="45"/>
      <c r="WXX50" s="45"/>
      <c r="WXY50" s="45"/>
      <c r="WXZ50" s="45"/>
      <c r="WYA50" s="45"/>
      <c r="WYB50" s="45"/>
      <c r="WYC50" s="45"/>
      <c r="WYD50" s="45"/>
      <c r="WYE50" s="45"/>
      <c r="WYF50" s="45"/>
      <c r="WYG50" s="45"/>
      <c r="WYH50" s="45"/>
      <c r="WYI50" s="45"/>
      <c r="WYJ50" s="45"/>
      <c r="WYK50" s="45"/>
      <c r="WYL50" s="45"/>
      <c r="WYM50" s="45"/>
      <c r="WYN50" s="45"/>
      <c r="WYO50" s="45"/>
      <c r="WYP50" s="45"/>
      <c r="WYQ50" s="45"/>
      <c r="WYR50" s="45"/>
      <c r="WYS50" s="45"/>
      <c r="WYT50" s="45"/>
      <c r="WYU50" s="45"/>
      <c r="WYV50" s="45"/>
      <c r="WYW50" s="45"/>
      <c r="WYX50" s="45"/>
      <c r="WYY50" s="45"/>
      <c r="WYZ50" s="45"/>
      <c r="WZA50" s="45"/>
      <c r="WZB50" s="45"/>
      <c r="WZC50" s="45"/>
      <c r="WZD50" s="45"/>
      <c r="WZE50" s="45"/>
      <c r="WZF50" s="45"/>
      <c r="WZG50" s="45"/>
      <c r="WZH50" s="45"/>
      <c r="WZI50" s="45"/>
      <c r="WZJ50" s="45"/>
      <c r="WZK50" s="45"/>
      <c r="WZL50" s="45"/>
      <c r="WZM50" s="45"/>
      <c r="WZN50" s="45"/>
      <c r="WZO50" s="45"/>
      <c r="WZP50" s="45"/>
      <c r="WZQ50" s="45"/>
      <c r="WZR50" s="45"/>
      <c r="WZS50" s="45"/>
      <c r="WZT50" s="45"/>
      <c r="WZU50" s="45"/>
      <c r="WZV50" s="45"/>
      <c r="WZW50" s="45"/>
      <c r="WZX50" s="45"/>
      <c r="WZY50" s="45"/>
      <c r="WZZ50" s="45"/>
      <c r="XAA50" s="45"/>
      <c r="XAB50" s="45"/>
      <c r="XAC50" s="45"/>
      <c r="XAD50" s="45"/>
      <c r="XAE50" s="45"/>
      <c r="XAF50" s="45"/>
      <c r="XAG50" s="45"/>
      <c r="XAH50" s="45"/>
      <c r="XAI50" s="45"/>
      <c r="XAJ50" s="45"/>
      <c r="XAK50" s="45"/>
      <c r="XAL50" s="45"/>
      <c r="XAM50" s="45"/>
      <c r="XAN50" s="45"/>
      <c r="XAO50" s="45"/>
      <c r="XAP50" s="45"/>
      <c r="XAQ50" s="45"/>
      <c r="XAR50" s="45"/>
      <c r="XAS50" s="45"/>
      <c r="XAT50" s="45"/>
      <c r="XAU50" s="45"/>
      <c r="XAV50" s="45"/>
      <c r="XAW50" s="45"/>
      <c r="XAX50" s="45"/>
      <c r="XAY50" s="45"/>
      <c r="XAZ50" s="45"/>
      <c r="XBA50" s="45"/>
      <c r="XBB50" s="45"/>
      <c r="XBC50" s="45"/>
      <c r="XBD50" s="45"/>
      <c r="XBE50" s="45"/>
      <c r="XBF50" s="45"/>
      <c r="XBG50" s="45"/>
      <c r="XBH50" s="45"/>
      <c r="XBI50" s="45"/>
      <c r="XBJ50" s="45"/>
      <c r="XBK50" s="45"/>
      <c r="XBL50" s="45"/>
      <c r="XBM50" s="45"/>
      <c r="XBN50" s="45"/>
      <c r="XBO50" s="45"/>
      <c r="XBP50" s="45"/>
      <c r="XBQ50" s="45"/>
      <c r="XBR50" s="45"/>
      <c r="XBS50" s="45"/>
      <c r="XBT50" s="45"/>
      <c r="XBU50" s="45"/>
      <c r="XBV50" s="45"/>
      <c r="XBW50" s="45"/>
      <c r="XBX50" s="45"/>
      <c r="XBY50" s="45"/>
      <c r="XBZ50" s="45"/>
      <c r="XCA50" s="45"/>
      <c r="XCB50" s="45"/>
      <c r="XCC50" s="45"/>
      <c r="XCD50" s="45"/>
      <c r="XCE50" s="45"/>
      <c r="XCF50" s="45"/>
      <c r="XCG50" s="45"/>
      <c r="XCH50" s="45"/>
      <c r="XCI50" s="45"/>
      <c r="XCJ50" s="45"/>
      <c r="XCK50" s="45"/>
      <c r="XCL50" s="45"/>
      <c r="XCM50" s="45"/>
      <c r="XCN50" s="45"/>
      <c r="XCO50" s="45"/>
      <c r="XCP50" s="45"/>
      <c r="XCQ50" s="45"/>
      <c r="XCR50" s="45"/>
      <c r="XCS50" s="45"/>
      <c r="XCT50" s="45"/>
      <c r="XCU50" s="45"/>
      <c r="XCV50" s="45"/>
      <c r="XCW50" s="45"/>
      <c r="XCX50" s="45"/>
      <c r="XCY50" s="45"/>
      <c r="XCZ50" s="45"/>
      <c r="XDA50" s="45"/>
      <c r="XDB50" s="45"/>
      <c r="XDC50" s="45"/>
      <c r="XDD50" s="45"/>
      <c r="XDE50" s="45"/>
      <c r="XDF50" s="45"/>
      <c r="XDG50" s="45"/>
      <c r="XDH50" s="45"/>
      <c r="XDI50" s="45"/>
      <c r="XDJ50" s="45"/>
      <c r="XDK50" s="45"/>
      <c r="XDL50" s="45"/>
      <c r="XDM50" s="45"/>
      <c r="XDN50" s="45"/>
      <c r="XDO50" s="45"/>
      <c r="XDP50" s="45"/>
      <c r="XDQ50" s="45"/>
      <c r="XDR50" s="45"/>
      <c r="XDS50" s="45"/>
      <c r="XDT50" s="45"/>
      <c r="XDU50" s="45"/>
      <c r="XDV50" s="45"/>
      <c r="XDW50" s="45"/>
      <c r="XDX50" s="45"/>
      <c r="XDY50" s="45"/>
      <c r="XDZ50" s="45"/>
      <c r="XEA50" s="45"/>
      <c r="XEB50" s="45"/>
      <c r="XEC50" s="45"/>
      <c r="XED50" s="45"/>
      <c r="XEE50" s="45"/>
      <c r="XEF50" s="45"/>
      <c r="XEG50" s="45"/>
      <c r="XEH50" s="45"/>
      <c r="XEI50" s="45"/>
      <c r="XEJ50" s="45"/>
      <c r="XEK50" s="45"/>
      <c r="XEL50" s="45"/>
      <c r="XEM50" s="45"/>
      <c r="XEN50" s="45"/>
      <c r="XEO50" s="45"/>
      <c r="XEP50" s="45"/>
      <c r="XEQ50" s="45"/>
      <c r="XER50" s="45"/>
      <c r="XES50" s="45"/>
      <c r="XET50" s="45"/>
      <c r="XEU50" s="45"/>
      <c r="XEV50" s="45"/>
      <c r="XEW50" s="45"/>
      <c r="XEX50" s="45"/>
    </row>
    <row r="51" spans="1:16378" s="6" customFormat="1">
      <c r="A51" s="884" t="s">
        <v>110</v>
      </c>
      <c r="B51" s="660" t="s">
        <v>102</v>
      </c>
      <c r="C51" s="28"/>
      <c r="D51" s="35"/>
      <c r="E51" s="28"/>
      <c r="F51" s="944"/>
      <c r="G51"/>
      <c r="H51"/>
      <c r="I51"/>
      <c r="J51"/>
      <c r="K51"/>
      <c r="L51"/>
      <c r="M51"/>
      <c r="N51"/>
      <c r="O51"/>
      <c r="AQ51" s="50">
        <v>0</v>
      </c>
      <c r="AR51" s="50">
        <v>0</v>
      </c>
      <c r="AS51" s="50">
        <v>3.23</v>
      </c>
      <c r="AT51" s="50"/>
      <c r="AU51" s="50"/>
      <c r="AV51" s="51"/>
      <c r="AW51" s="51"/>
      <c r="BB51"/>
      <c r="BC51"/>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c r="BMX51" s="45"/>
      <c r="BMY51" s="45"/>
      <c r="BMZ51" s="45"/>
      <c r="BNA51" s="45"/>
      <c r="BNB51" s="45"/>
      <c r="BNC51" s="45"/>
      <c r="BND51" s="45"/>
      <c r="BNE51" s="45"/>
      <c r="BNF51" s="45"/>
      <c r="BNG51" s="45"/>
      <c r="BNH51" s="45"/>
      <c r="BNI51" s="45"/>
      <c r="BNJ51" s="45"/>
      <c r="BNK51" s="45"/>
      <c r="BNL51" s="45"/>
      <c r="BNM51" s="45"/>
      <c r="BNN51" s="45"/>
      <c r="BNO51" s="45"/>
      <c r="BNP51" s="45"/>
      <c r="BNQ51" s="45"/>
      <c r="BNR51" s="45"/>
      <c r="BNS51" s="45"/>
      <c r="BNT51" s="45"/>
      <c r="BNU51" s="45"/>
      <c r="BNV51" s="45"/>
      <c r="BNW51" s="45"/>
      <c r="BNX51" s="45"/>
      <c r="BNY51" s="45"/>
      <c r="BNZ51" s="45"/>
      <c r="BOA51" s="45"/>
      <c r="BOB51" s="45"/>
      <c r="BOC51" s="45"/>
      <c r="BOD51" s="45"/>
      <c r="BOE51" s="45"/>
      <c r="BOF51" s="45"/>
      <c r="BOG51" s="45"/>
      <c r="BOH51" s="45"/>
      <c r="BOI51" s="45"/>
      <c r="BOJ51" s="45"/>
      <c r="BOK51" s="45"/>
      <c r="BOL51" s="45"/>
      <c r="BOM51" s="45"/>
      <c r="BON51" s="45"/>
      <c r="BOO51" s="45"/>
      <c r="BOP51" s="45"/>
      <c r="BOQ51" s="45"/>
      <c r="BOR51" s="45"/>
      <c r="BOS51" s="45"/>
      <c r="BOT51" s="45"/>
      <c r="BOU51" s="45"/>
      <c r="BOV51" s="45"/>
      <c r="BOW51" s="45"/>
      <c r="BOX51" s="45"/>
      <c r="BOY51" s="45"/>
      <c r="BOZ51" s="45"/>
      <c r="BPA51" s="45"/>
      <c r="BPB51" s="45"/>
      <c r="BPC51" s="45"/>
      <c r="BPD51" s="45"/>
      <c r="BPE51" s="45"/>
      <c r="BPF51" s="45"/>
      <c r="BPG51" s="45"/>
      <c r="BPH51" s="45"/>
      <c r="BPI51" s="45"/>
      <c r="BPJ51" s="45"/>
      <c r="BPK51" s="45"/>
      <c r="BPL51" s="45"/>
      <c r="BPM51" s="45"/>
      <c r="BPN51" s="45"/>
      <c r="BPO51" s="45"/>
      <c r="BPP51" s="45"/>
      <c r="BPQ51" s="45"/>
      <c r="BPR51" s="45"/>
      <c r="BPS51" s="45"/>
      <c r="BPT51" s="45"/>
      <c r="BPU51" s="45"/>
      <c r="BPV51" s="45"/>
      <c r="BPW51" s="45"/>
      <c r="BPX51" s="45"/>
      <c r="BPY51" s="45"/>
      <c r="BPZ51" s="45"/>
      <c r="BQA51" s="45"/>
      <c r="BQB51" s="45"/>
      <c r="BQC51" s="45"/>
      <c r="BQD51" s="45"/>
      <c r="BQE51" s="45"/>
      <c r="BQF51" s="45"/>
      <c r="BQG51" s="45"/>
      <c r="BQH51" s="45"/>
      <c r="BQI51" s="45"/>
      <c r="BQJ51" s="45"/>
      <c r="BQK51" s="45"/>
      <c r="BQL51" s="45"/>
      <c r="BQM51" s="45"/>
      <c r="BQN51" s="45"/>
      <c r="BQO51" s="45"/>
      <c r="BQP51" s="45"/>
      <c r="BQQ51" s="45"/>
      <c r="BQR51" s="45"/>
      <c r="BQS51" s="45"/>
      <c r="BQT51" s="45"/>
      <c r="BQU51" s="45"/>
      <c r="BQV51" s="45"/>
      <c r="BQW51" s="45"/>
      <c r="BQX51" s="45"/>
      <c r="BQY51" s="45"/>
      <c r="BQZ51" s="45"/>
      <c r="BRA51" s="45"/>
      <c r="BRB51" s="45"/>
      <c r="BRC51" s="45"/>
      <c r="BRD51" s="45"/>
      <c r="BRE51" s="45"/>
      <c r="BRF51" s="45"/>
      <c r="BRG51" s="45"/>
      <c r="BRH51" s="45"/>
      <c r="BRI51" s="45"/>
      <c r="BRJ51" s="45"/>
      <c r="BRK51" s="45"/>
      <c r="BRL51" s="45"/>
      <c r="BRM51" s="45"/>
      <c r="BRN51" s="45"/>
      <c r="BRO51" s="45"/>
      <c r="BRP51" s="45"/>
      <c r="BRQ51" s="45"/>
      <c r="BRR51" s="45"/>
      <c r="BRS51" s="45"/>
      <c r="BRT51" s="45"/>
      <c r="BRU51" s="45"/>
      <c r="BRV51" s="45"/>
      <c r="BRW51" s="45"/>
      <c r="BRX51" s="45"/>
      <c r="BRY51" s="45"/>
      <c r="BRZ51" s="45"/>
      <c r="BSA51" s="45"/>
      <c r="BSB51" s="45"/>
      <c r="BSC51" s="45"/>
      <c r="BSD51" s="45"/>
      <c r="BSE51" s="45"/>
      <c r="BSF51" s="45"/>
      <c r="BSG51" s="45"/>
      <c r="BSH51" s="45"/>
      <c r="BSI51" s="45"/>
      <c r="BSJ51" s="45"/>
      <c r="BSK51" s="45"/>
      <c r="BSL51" s="45"/>
      <c r="BSM51" s="45"/>
      <c r="BSN51" s="45"/>
      <c r="BSO51" s="45"/>
      <c r="BSP51" s="45"/>
      <c r="BSQ51" s="45"/>
      <c r="BSR51" s="45"/>
      <c r="BSS51" s="45"/>
      <c r="BST51" s="45"/>
      <c r="BSU51" s="45"/>
      <c r="BSV51" s="45"/>
      <c r="BSW51" s="45"/>
      <c r="BSX51" s="45"/>
      <c r="BSY51" s="45"/>
      <c r="BSZ51" s="45"/>
      <c r="BTA51" s="45"/>
      <c r="BTB51" s="45"/>
      <c r="BTC51" s="45"/>
      <c r="BTD51" s="45"/>
      <c r="BTE51" s="45"/>
      <c r="BTF51" s="45"/>
      <c r="BTG51" s="45"/>
      <c r="BTH51" s="45"/>
      <c r="BTI51" s="45"/>
      <c r="BTJ51" s="45"/>
      <c r="BTK51" s="45"/>
      <c r="BTL51" s="45"/>
      <c r="BTM51" s="45"/>
      <c r="BTN51" s="45"/>
      <c r="BTO51" s="45"/>
      <c r="BTP51" s="45"/>
      <c r="BTQ51" s="45"/>
      <c r="BTR51" s="45"/>
      <c r="BTS51" s="45"/>
      <c r="BTT51" s="45"/>
      <c r="BTU51" s="45"/>
      <c r="BTV51" s="45"/>
      <c r="BTW51" s="45"/>
      <c r="BTX51" s="45"/>
      <c r="BTY51" s="45"/>
      <c r="BTZ51" s="45"/>
      <c r="BUA51" s="45"/>
      <c r="BUB51" s="45"/>
      <c r="BUC51" s="45"/>
      <c r="BUD51" s="45"/>
      <c r="BUE51" s="45"/>
      <c r="BUF51" s="45"/>
      <c r="BUG51" s="45"/>
      <c r="BUH51" s="45"/>
      <c r="BUI51" s="45"/>
      <c r="BUJ51" s="45"/>
      <c r="BUK51" s="45"/>
      <c r="BUL51" s="45"/>
      <c r="BUM51" s="45"/>
      <c r="BUN51" s="45"/>
      <c r="BUO51" s="45"/>
      <c r="BUP51" s="45"/>
      <c r="BUQ51" s="45"/>
      <c r="BUR51" s="45"/>
      <c r="BUS51" s="45"/>
      <c r="BUT51" s="45"/>
      <c r="BUU51" s="45"/>
      <c r="BUV51" s="45"/>
      <c r="BUW51" s="45"/>
      <c r="BUX51" s="45"/>
      <c r="BUY51" s="45"/>
      <c r="BUZ51" s="45"/>
      <c r="BVA51" s="45"/>
      <c r="BVB51" s="45"/>
      <c r="BVC51" s="45"/>
      <c r="BVD51" s="45"/>
      <c r="BVE51" s="45"/>
      <c r="BVF51" s="45"/>
      <c r="BVG51" s="45"/>
      <c r="BVH51" s="45"/>
      <c r="BVI51" s="45"/>
      <c r="BVJ51" s="45"/>
      <c r="BVK51" s="45"/>
      <c r="BVL51" s="45"/>
      <c r="BVM51" s="45"/>
      <c r="BVN51" s="45"/>
      <c r="BVO51" s="45"/>
      <c r="BVP51" s="45"/>
      <c r="BVQ51" s="45"/>
      <c r="BVR51" s="45"/>
      <c r="BVS51" s="45"/>
      <c r="BVT51" s="45"/>
      <c r="BVU51" s="45"/>
      <c r="BVV51" s="45"/>
      <c r="BVW51" s="45"/>
      <c r="BVX51" s="45"/>
      <c r="BVY51" s="45"/>
      <c r="BVZ51" s="45"/>
      <c r="BWA51" s="45"/>
      <c r="BWB51" s="45"/>
      <c r="BWC51" s="45"/>
      <c r="BWD51" s="45"/>
      <c r="BWE51" s="45"/>
      <c r="BWF51" s="45"/>
      <c r="BWG51" s="45"/>
      <c r="BWH51" s="45"/>
      <c r="BWI51" s="45"/>
      <c r="BWJ51" s="45"/>
      <c r="BWK51" s="45"/>
      <c r="BWL51" s="45"/>
      <c r="BWM51" s="45"/>
      <c r="BWN51" s="45"/>
      <c r="BWO51" s="45"/>
      <c r="BWP51" s="45"/>
      <c r="BWQ51" s="45"/>
      <c r="BWR51" s="45"/>
      <c r="BWS51" s="45"/>
      <c r="BWT51" s="45"/>
      <c r="BWU51" s="45"/>
      <c r="BWV51" s="45"/>
      <c r="BWW51" s="45"/>
      <c r="BWX51" s="45"/>
      <c r="BWY51" s="45"/>
      <c r="BWZ51" s="45"/>
      <c r="BXA51" s="45"/>
      <c r="BXB51" s="45"/>
      <c r="BXC51" s="45"/>
      <c r="BXD51" s="45"/>
      <c r="BXE51" s="45"/>
      <c r="BXF51" s="45"/>
      <c r="BXG51" s="45"/>
      <c r="BXH51" s="45"/>
      <c r="BXI51" s="45"/>
      <c r="BXJ51" s="45"/>
      <c r="BXK51" s="45"/>
      <c r="BXL51" s="45"/>
      <c r="BXM51" s="45"/>
      <c r="BXN51" s="45"/>
      <c r="BXO51" s="45"/>
      <c r="BXP51" s="45"/>
      <c r="BXQ51" s="45"/>
      <c r="BXR51" s="45"/>
      <c r="BXS51" s="45"/>
      <c r="BXT51" s="45"/>
      <c r="BXU51" s="45"/>
      <c r="BXV51" s="45"/>
      <c r="BXW51" s="45"/>
      <c r="BXX51" s="45"/>
      <c r="BXY51" s="45"/>
      <c r="BXZ51" s="45"/>
      <c r="BYA51" s="45"/>
      <c r="BYB51" s="45"/>
      <c r="BYC51" s="45"/>
      <c r="BYD51" s="45"/>
      <c r="BYE51" s="45"/>
      <c r="BYF51" s="45"/>
      <c r="BYG51" s="45"/>
      <c r="BYH51" s="45"/>
      <c r="BYI51" s="45"/>
      <c r="BYJ51" s="45"/>
      <c r="BYK51" s="45"/>
      <c r="BYL51" s="45"/>
      <c r="BYM51" s="45"/>
      <c r="BYN51" s="45"/>
      <c r="BYO51" s="45"/>
      <c r="BYP51" s="45"/>
      <c r="BYQ51" s="45"/>
      <c r="BYR51" s="45"/>
      <c r="BYS51" s="45"/>
      <c r="BYT51" s="45"/>
      <c r="BYU51" s="45"/>
      <c r="BYV51" s="45"/>
      <c r="BYW51" s="45"/>
      <c r="BYX51" s="45"/>
      <c r="BYY51" s="45"/>
      <c r="BYZ51" s="45"/>
      <c r="BZA51" s="45"/>
      <c r="BZB51" s="45"/>
      <c r="BZC51" s="45"/>
      <c r="BZD51" s="45"/>
      <c r="BZE51" s="45"/>
      <c r="BZF51" s="45"/>
      <c r="BZG51" s="45"/>
      <c r="BZH51" s="45"/>
      <c r="BZI51" s="45"/>
      <c r="BZJ51" s="45"/>
      <c r="BZK51" s="45"/>
      <c r="BZL51" s="45"/>
      <c r="BZM51" s="45"/>
      <c r="BZN51" s="45"/>
      <c r="BZO51" s="45"/>
      <c r="BZP51" s="45"/>
      <c r="BZQ51" s="45"/>
      <c r="BZR51" s="45"/>
      <c r="BZS51" s="45"/>
      <c r="BZT51" s="45"/>
      <c r="BZU51" s="45"/>
      <c r="BZV51" s="45"/>
      <c r="BZW51" s="45"/>
      <c r="BZX51" s="45"/>
      <c r="BZY51" s="45"/>
      <c r="BZZ51" s="45"/>
      <c r="CAA51" s="45"/>
      <c r="CAB51" s="45"/>
      <c r="CAC51" s="45"/>
      <c r="CAD51" s="45"/>
      <c r="CAE51" s="45"/>
      <c r="CAF51" s="45"/>
      <c r="CAG51" s="45"/>
      <c r="CAH51" s="45"/>
      <c r="CAI51" s="45"/>
      <c r="CAJ51" s="45"/>
      <c r="CAK51" s="45"/>
      <c r="CAL51" s="45"/>
      <c r="CAM51" s="45"/>
      <c r="CAN51" s="45"/>
      <c r="CAO51" s="45"/>
      <c r="CAP51" s="45"/>
      <c r="CAQ51" s="45"/>
      <c r="CAR51" s="45"/>
      <c r="CAS51" s="45"/>
      <c r="CAT51" s="45"/>
      <c r="CAU51" s="45"/>
      <c r="CAV51" s="45"/>
      <c r="CAW51" s="45"/>
      <c r="CAX51" s="45"/>
      <c r="CAY51" s="45"/>
      <c r="CAZ51" s="45"/>
      <c r="CBA51" s="45"/>
      <c r="CBB51" s="45"/>
      <c r="CBC51" s="45"/>
      <c r="CBD51" s="45"/>
      <c r="CBE51" s="45"/>
      <c r="CBF51" s="45"/>
      <c r="CBG51" s="45"/>
      <c r="CBH51" s="45"/>
      <c r="CBI51" s="45"/>
      <c r="CBJ51" s="45"/>
      <c r="CBK51" s="45"/>
      <c r="CBL51" s="45"/>
      <c r="CBM51" s="45"/>
      <c r="CBN51" s="45"/>
      <c r="CBO51" s="45"/>
      <c r="CBP51" s="45"/>
      <c r="CBQ51" s="45"/>
      <c r="CBR51" s="45"/>
      <c r="CBS51" s="45"/>
      <c r="CBT51" s="45"/>
      <c r="CBU51" s="45"/>
      <c r="CBV51" s="45"/>
      <c r="CBW51" s="45"/>
      <c r="CBX51" s="45"/>
      <c r="CBY51" s="45"/>
      <c r="CBZ51" s="45"/>
      <c r="CCA51" s="45"/>
      <c r="CCB51" s="45"/>
      <c r="CCC51" s="45"/>
      <c r="CCD51" s="45"/>
      <c r="CCE51" s="45"/>
      <c r="CCF51" s="45"/>
      <c r="CCG51" s="45"/>
      <c r="CCH51" s="45"/>
      <c r="CCI51" s="45"/>
      <c r="CCJ51" s="45"/>
      <c r="CCK51" s="45"/>
      <c r="CCL51" s="45"/>
      <c r="CCM51" s="45"/>
      <c r="CCN51" s="45"/>
      <c r="CCO51" s="45"/>
      <c r="CCP51" s="45"/>
      <c r="CCQ51" s="45"/>
      <c r="CCR51" s="45"/>
      <c r="CCS51" s="45"/>
      <c r="CCT51" s="45"/>
      <c r="CCU51" s="45"/>
      <c r="CCV51" s="45"/>
      <c r="CCW51" s="45"/>
      <c r="CCX51" s="45"/>
      <c r="CCY51" s="45"/>
      <c r="CCZ51" s="45"/>
      <c r="CDA51" s="45"/>
      <c r="CDB51" s="45"/>
      <c r="CDC51" s="45"/>
      <c r="CDD51" s="45"/>
      <c r="CDE51" s="45"/>
      <c r="CDF51" s="45"/>
      <c r="CDG51" s="45"/>
      <c r="CDH51" s="45"/>
      <c r="CDI51" s="45"/>
      <c r="CDJ51" s="45"/>
      <c r="CDK51" s="45"/>
      <c r="CDL51" s="45"/>
      <c r="CDM51" s="45"/>
      <c r="CDN51" s="45"/>
      <c r="CDO51" s="45"/>
      <c r="CDP51" s="45"/>
      <c r="CDQ51" s="45"/>
      <c r="CDR51" s="45"/>
      <c r="CDS51" s="45"/>
      <c r="CDT51" s="45"/>
      <c r="CDU51" s="45"/>
      <c r="CDV51" s="45"/>
      <c r="CDW51" s="45"/>
      <c r="CDX51" s="45"/>
      <c r="CDY51" s="45"/>
      <c r="CDZ51" s="45"/>
      <c r="CEA51" s="45"/>
      <c r="CEB51" s="45"/>
      <c r="CEC51" s="45"/>
      <c r="CED51" s="45"/>
      <c r="CEE51" s="45"/>
      <c r="CEF51" s="45"/>
      <c r="CEG51" s="45"/>
      <c r="CEH51" s="45"/>
      <c r="CEI51" s="45"/>
      <c r="CEJ51" s="45"/>
      <c r="CEK51" s="45"/>
      <c r="CEL51" s="45"/>
      <c r="CEM51" s="45"/>
      <c r="CEN51" s="45"/>
      <c r="CEO51" s="45"/>
      <c r="CEP51" s="45"/>
      <c r="CEQ51" s="45"/>
      <c r="CER51" s="45"/>
      <c r="CES51" s="45"/>
      <c r="CET51" s="45"/>
      <c r="CEU51" s="45"/>
      <c r="CEV51" s="45"/>
      <c r="CEW51" s="45"/>
      <c r="CEX51" s="45"/>
      <c r="CEY51" s="45"/>
      <c r="CEZ51" s="45"/>
      <c r="CFA51" s="45"/>
      <c r="CFB51" s="45"/>
      <c r="CFC51" s="45"/>
      <c r="CFD51" s="45"/>
      <c r="CFE51" s="45"/>
      <c r="CFF51" s="45"/>
      <c r="CFG51" s="45"/>
      <c r="CFH51" s="45"/>
      <c r="CFI51" s="45"/>
      <c r="CFJ51" s="45"/>
      <c r="CFK51" s="45"/>
      <c r="CFL51" s="45"/>
      <c r="CFM51" s="45"/>
      <c r="CFN51" s="45"/>
      <c r="CFO51" s="45"/>
      <c r="CFP51" s="45"/>
      <c r="CFQ51" s="45"/>
      <c r="CFR51" s="45"/>
      <c r="CFS51" s="45"/>
      <c r="CFT51" s="45"/>
      <c r="CFU51" s="45"/>
      <c r="CFV51" s="45"/>
      <c r="CFW51" s="45"/>
      <c r="CFX51" s="45"/>
      <c r="CFY51" s="45"/>
      <c r="CFZ51" s="45"/>
      <c r="CGA51" s="45"/>
      <c r="CGB51" s="45"/>
      <c r="CGC51" s="45"/>
      <c r="CGD51" s="45"/>
      <c r="CGE51" s="45"/>
      <c r="CGF51" s="45"/>
      <c r="CGG51" s="45"/>
      <c r="CGH51" s="45"/>
      <c r="CGI51" s="45"/>
      <c r="CGJ51" s="45"/>
      <c r="CGK51" s="45"/>
      <c r="CGL51" s="45"/>
      <c r="CGM51" s="45"/>
      <c r="CGN51" s="45"/>
      <c r="CGO51" s="45"/>
      <c r="CGP51" s="45"/>
      <c r="CGQ51" s="45"/>
      <c r="CGR51" s="45"/>
      <c r="CGS51" s="45"/>
      <c r="CGT51" s="45"/>
      <c r="CGU51" s="45"/>
      <c r="CGV51" s="45"/>
      <c r="CGW51" s="45"/>
      <c r="CGX51" s="45"/>
      <c r="CGY51" s="45"/>
      <c r="CGZ51" s="45"/>
      <c r="CHA51" s="45"/>
      <c r="CHB51" s="45"/>
      <c r="CHC51" s="45"/>
      <c r="CHD51" s="45"/>
      <c r="CHE51" s="45"/>
      <c r="CHF51" s="45"/>
      <c r="CHG51" s="45"/>
      <c r="CHH51" s="45"/>
      <c r="CHI51" s="45"/>
      <c r="CHJ51" s="45"/>
      <c r="CHK51" s="45"/>
      <c r="CHL51" s="45"/>
      <c r="CHM51" s="45"/>
      <c r="CHN51" s="45"/>
      <c r="CHO51" s="45"/>
      <c r="CHP51" s="45"/>
      <c r="CHQ51" s="45"/>
      <c r="CHR51" s="45"/>
      <c r="CHS51" s="45"/>
      <c r="CHT51" s="45"/>
      <c r="CHU51" s="45"/>
      <c r="CHV51" s="45"/>
      <c r="CHW51" s="45"/>
      <c r="CHX51" s="45"/>
      <c r="CHY51" s="45"/>
      <c r="CHZ51" s="45"/>
      <c r="CIA51" s="45"/>
      <c r="CIB51" s="45"/>
      <c r="CIC51" s="45"/>
      <c r="CID51" s="45"/>
      <c r="CIE51" s="45"/>
      <c r="CIF51" s="45"/>
      <c r="CIG51" s="45"/>
      <c r="CIH51" s="45"/>
      <c r="CII51" s="45"/>
      <c r="CIJ51" s="45"/>
      <c r="CIK51" s="45"/>
      <c r="CIL51" s="45"/>
      <c r="CIM51" s="45"/>
      <c r="CIN51" s="45"/>
      <c r="CIO51" s="45"/>
      <c r="CIP51" s="45"/>
      <c r="CIQ51" s="45"/>
      <c r="CIR51" s="45"/>
      <c r="CIS51" s="45"/>
      <c r="CIT51" s="45"/>
      <c r="CIU51" s="45"/>
      <c r="CIV51" s="45"/>
      <c r="CIW51" s="45"/>
      <c r="CIX51" s="45"/>
      <c r="CIY51" s="45"/>
      <c r="CIZ51" s="45"/>
      <c r="CJA51" s="45"/>
      <c r="CJB51" s="45"/>
      <c r="CJC51" s="45"/>
      <c r="CJD51" s="45"/>
      <c r="CJE51" s="45"/>
      <c r="CJF51" s="45"/>
      <c r="CJG51" s="45"/>
      <c r="CJH51" s="45"/>
      <c r="CJI51" s="45"/>
      <c r="CJJ51" s="45"/>
      <c r="CJK51" s="45"/>
      <c r="CJL51" s="45"/>
      <c r="CJM51" s="45"/>
      <c r="CJN51" s="45"/>
      <c r="CJO51" s="45"/>
      <c r="CJP51" s="45"/>
      <c r="CJQ51" s="45"/>
      <c r="CJR51" s="45"/>
      <c r="CJS51" s="45"/>
      <c r="CJT51" s="45"/>
      <c r="CJU51" s="45"/>
      <c r="CJV51" s="45"/>
      <c r="CJW51" s="45"/>
      <c r="CJX51" s="45"/>
      <c r="CJY51" s="45"/>
      <c r="CJZ51" s="45"/>
      <c r="CKA51" s="45"/>
      <c r="CKB51" s="45"/>
      <c r="CKC51" s="45"/>
      <c r="CKD51" s="45"/>
      <c r="CKE51" s="45"/>
      <c r="CKF51" s="45"/>
      <c r="CKG51" s="45"/>
      <c r="CKH51" s="45"/>
      <c r="CKI51" s="45"/>
      <c r="CKJ51" s="45"/>
      <c r="CKK51" s="45"/>
      <c r="CKL51" s="45"/>
      <c r="CKM51" s="45"/>
      <c r="CKN51" s="45"/>
      <c r="CKO51" s="45"/>
      <c r="CKP51" s="45"/>
      <c r="CKQ51" s="45"/>
      <c r="CKR51" s="45"/>
      <c r="CKS51" s="45"/>
      <c r="CKT51" s="45"/>
      <c r="CKU51" s="45"/>
      <c r="CKV51" s="45"/>
      <c r="CKW51" s="45"/>
      <c r="CKX51" s="45"/>
      <c r="CKY51" s="45"/>
      <c r="CKZ51" s="45"/>
      <c r="CLA51" s="45"/>
      <c r="CLB51" s="45"/>
      <c r="CLC51" s="45"/>
      <c r="CLD51" s="45"/>
      <c r="CLE51" s="45"/>
      <c r="CLF51" s="45"/>
      <c r="CLG51" s="45"/>
      <c r="CLH51" s="45"/>
      <c r="CLI51" s="45"/>
      <c r="CLJ51" s="45"/>
      <c r="CLK51" s="45"/>
      <c r="CLL51" s="45"/>
      <c r="CLM51" s="45"/>
      <c r="CLN51" s="45"/>
      <c r="CLO51" s="45"/>
      <c r="CLP51" s="45"/>
      <c r="CLQ51" s="45"/>
      <c r="CLR51" s="45"/>
      <c r="CLS51" s="45"/>
      <c r="CLT51" s="45"/>
      <c r="CLU51" s="45"/>
      <c r="CLV51" s="45"/>
      <c r="CLW51" s="45"/>
      <c r="CLX51" s="45"/>
      <c r="CLY51" s="45"/>
      <c r="CLZ51" s="45"/>
      <c r="CMA51" s="45"/>
      <c r="CMB51" s="45"/>
      <c r="CMC51" s="45"/>
      <c r="CMD51" s="45"/>
      <c r="CME51" s="45"/>
      <c r="CMF51" s="45"/>
      <c r="CMG51" s="45"/>
      <c r="CMH51" s="45"/>
      <c r="CMI51" s="45"/>
      <c r="CMJ51" s="45"/>
      <c r="CMK51" s="45"/>
      <c r="CML51" s="45"/>
      <c r="CMM51" s="45"/>
      <c r="CMN51" s="45"/>
      <c r="CMO51" s="45"/>
      <c r="CMP51" s="45"/>
      <c r="CMQ51" s="45"/>
      <c r="CMR51" s="45"/>
      <c r="CMS51" s="45"/>
      <c r="CMT51" s="45"/>
      <c r="CMU51" s="45"/>
      <c r="CMV51" s="45"/>
      <c r="CMW51" s="45"/>
      <c r="CMX51" s="45"/>
      <c r="CMY51" s="45"/>
      <c r="CMZ51" s="45"/>
      <c r="CNA51" s="45"/>
      <c r="CNB51" s="45"/>
      <c r="CNC51" s="45"/>
      <c r="CND51" s="45"/>
      <c r="CNE51" s="45"/>
      <c r="CNF51" s="45"/>
      <c r="CNG51" s="45"/>
      <c r="CNH51" s="45"/>
      <c r="CNI51" s="45"/>
      <c r="CNJ51" s="45"/>
      <c r="CNK51" s="45"/>
      <c r="CNL51" s="45"/>
      <c r="CNM51" s="45"/>
      <c r="CNN51" s="45"/>
      <c r="CNO51" s="45"/>
      <c r="CNP51" s="45"/>
      <c r="CNQ51" s="45"/>
      <c r="CNR51" s="45"/>
      <c r="CNS51" s="45"/>
      <c r="CNT51" s="45"/>
      <c r="CNU51" s="45"/>
      <c r="CNV51" s="45"/>
      <c r="CNW51" s="45"/>
      <c r="CNX51" s="45"/>
      <c r="CNY51" s="45"/>
      <c r="CNZ51" s="45"/>
      <c r="COA51" s="45"/>
      <c r="COB51" s="45"/>
      <c r="COC51" s="45"/>
      <c r="COD51" s="45"/>
      <c r="COE51" s="45"/>
      <c r="COF51" s="45"/>
      <c r="COG51" s="45"/>
      <c r="COH51" s="45"/>
      <c r="COI51" s="45"/>
      <c r="COJ51" s="45"/>
      <c r="COK51" s="45"/>
      <c r="COL51" s="45"/>
      <c r="COM51" s="45"/>
      <c r="CON51" s="45"/>
      <c r="COO51" s="45"/>
      <c r="COP51" s="45"/>
      <c r="COQ51" s="45"/>
      <c r="COR51" s="45"/>
      <c r="COS51" s="45"/>
      <c r="COT51" s="45"/>
      <c r="COU51" s="45"/>
      <c r="COV51" s="45"/>
      <c r="COW51" s="45"/>
      <c r="COX51" s="45"/>
      <c r="COY51" s="45"/>
      <c r="COZ51" s="45"/>
      <c r="CPA51" s="45"/>
      <c r="CPB51" s="45"/>
      <c r="CPC51" s="45"/>
      <c r="CPD51" s="45"/>
      <c r="CPE51" s="45"/>
      <c r="CPF51" s="45"/>
      <c r="CPG51" s="45"/>
      <c r="CPH51" s="45"/>
      <c r="CPI51" s="45"/>
      <c r="CPJ51" s="45"/>
      <c r="CPK51" s="45"/>
      <c r="CPL51" s="45"/>
      <c r="CPM51" s="45"/>
      <c r="CPN51" s="45"/>
      <c r="CPO51" s="45"/>
      <c r="CPP51" s="45"/>
      <c r="CPQ51" s="45"/>
      <c r="CPR51" s="45"/>
      <c r="CPS51" s="45"/>
      <c r="CPT51" s="45"/>
      <c r="CPU51" s="45"/>
      <c r="CPV51" s="45"/>
      <c r="CPW51" s="45"/>
      <c r="CPX51" s="45"/>
      <c r="CPY51" s="45"/>
      <c r="CPZ51" s="45"/>
      <c r="CQA51" s="45"/>
      <c r="CQB51" s="45"/>
      <c r="CQC51" s="45"/>
      <c r="CQD51" s="45"/>
      <c r="CQE51" s="45"/>
      <c r="CQF51" s="45"/>
      <c r="CQG51" s="45"/>
      <c r="CQH51" s="45"/>
      <c r="CQI51" s="45"/>
      <c r="CQJ51" s="45"/>
      <c r="CQK51" s="45"/>
      <c r="CQL51" s="45"/>
      <c r="CQM51" s="45"/>
      <c r="CQN51" s="45"/>
      <c r="CQO51" s="45"/>
      <c r="CQP51" s="45"/>
      <c r="CQQ51" s="45"/>
      <c r="CQR51" s="45"/>
      <c r="CQS51" s="45"/>
      <c r="CQT51" s="45"/>
      <c r="CQU51" s="45"/>
      <c r="CQV51" s="45"/>
      <c r="CQW51" s="45"/>
      <c r="CQX51" s="45"/>
      <c r="CQY51" s="45"/>
      <c r="CQZ51" s="45"/>
      <c r="CRA51" s="45"/>
      <c r="CRB51" s="45"/>
      <c r="CRC51" s="45"/>
      <c r="CRD51" s="45"/>
      <c r="CRE51" s="45"/>
      <c r="CRF51" s="45"/>
      <c r="CRG51" s="45"/>
      <c r="CRH51" s="45"/>
      <c r="CRI51" s="45"/>
      <c r="CRJ51" s="45"/>
      <c r="CRK51" s="45"/>
      <c r="CRL51" s="45"/>
      <c r="CRM51" s="45"/>
      <c r="CRN51" s="45"/>
      <c r="CRO51" s="45"/>
      <c r="CRP51" s="45"/>
      <c r="CRQ51" s="45"/>
      <c r="CRR51" s="45"/>
      <c r="CRS51" s="45"/>
      <c r="CRT51" s="45"/>
      <c r="CRU51" s="45"/>
      <c r="CRV51" s="45"/>
      <c r="CRW51" s="45"/>
      <c r="CRX51" s="45"/>
      <c r="CRY51" s="45"/>
      <c r="CRZ51" s="45"/>
      <c r="CSA51" s="45"/>
      <c r="CSB51" s="45"/>
      <c r="CSC51" s="45"/>
      <c r="CSD51" s="45"/>
      <c r="CSE51" s="45"/>
      <c r="CSF51" s="45"/>
      <c r="CSG51" s="45"/>
      <c r="CSH51" s="45"/>
      <c r="CSI51" s="45"/>
      <c r="CSJ51" s="45"/>
      <c r="CSK51" s="45"/>
      <c r="CSL51" s="45"/>
      <c r="CSM51" s="45"/>
      <c r="CSN51" s="45"/>
      <c r="CSO51" s="45"/>
      <c r="CSP51" s="45"/>
      <c r="CSQ51" s="45"/>
      <c r="CSR51" s="45"/>
      <c r="CSS51" s="45"/>
      <c r="CST51" s="45"/>
      <c r="CSU51" s="45"/>
      <c r="CSV51" s="45"/>
      <c r="CSW51" s="45"/>
      <c r="CSX51" s="45"/>
      <c r="CSY51" s="45"/>
      <c r="CSZ51" s="45"/>
      <c r="CTA51" s="45"/>
      <c r="CTB51" s="45"/>
      <c r="CTC51" s="45"/>
      <c r="CTD51" s="45"/>
      <c r="CTE51" s="45"/>
      <c r="CTF51" s="45"/>
      <c r="CTG51" s="45"/>
      <c r="CTH51" s="45"/>
      <c r="CTI51" s="45"/>
      <c r="CTJ51" s="45"/>
      <c r="CTK51" s="45"/>
      <c r="CTL51" s="45"/>
      <c r="CTM51" s="45"/>
      <c r="CTN51" s="45"/>
      <c r="CTO51" s="45"/>
      <c r="CTP51" s="45"/>
      <c r="CTQ51" s="45"/>
      <c r="CTR51" s="45"/>
      <c r="CTS51" s="45"/>
      <c r="CTT51" s="45"/>
      <c r="CTU51" s="45"/>
      <c r="CTV51" s="45"/>
      <c r="CTW51" s="45"/>
      <c r="CTX51" s="45"/>
      <c r="CTY51" s="45"/>
      <c r="CTZ51" s="45"/>
      <c r="CUA51" s="45"/>
      <c r="CUB51" s="45"/>
      <c r="CUC51" s="45"/>
      <c r="CUD51" s="45"/>
      <c r="CUE51" s="45"/>
      <c r="CUF51" s="45"/>
      <c r="CUG51" s="45"/>
      <c r="CUH51" s="45"/>
      <c r="CUI51" s="45"/>
      <c r="CUJ51" s="45"/>
      <c r="CUK51" s="45"/>
      <c r="CUL51" s="45"/>
      <c r="CUM51" s="45"/>
      <c r="CUN51" s="45"/>
      <c r="CUO51" s="45"/>
      <c r="CUP51" s="45"/>
      <c r="CUQ51" s="45"/>
      <c r="CUR51" s="45"/>
      <c r="CUS51" s="45"/>
      <c r="CUT51" s="45"/>
      <c r="CUU51" s="45"/>
      <c r="CUV51" s="45"/>
      <c r="CUW51" s="45"/>
      <c r="CUX51" s="45"/>
      <c r="CUY51" s="45"/>
      <c r="CUZ51" s="45"/>
      <c r="CVA51" s="45"/>
      <c r="CVB51" s="45"/>
      <c r="CVC51" s="45"/>
      <c r="CVD51" s="45"/>
      <c r="CVE51" s="45"/>
      <c r="CVF51" s="45"/>
      <c r="CVG51" s="45"/>
      <c r="CVH51" s="45"/>
      <c r="CVI51" s="45"/>
      <c r="CVJ51" s="45"/>
      <c r="CVK51" s="45"/>
      <c r="CVL51" s="45"/>
      <c r="CVM51" s="45"/>
      <c r="CVN51" s="45"/>
      <c r="CVO51" s="45"/>
      <c r="CVP51" s="45"/>
      <c r="CVQ51" s="45"/>
      <c r="CVR51" s="45"/>
      <c r="CVS51" s="45"/>
      <c r="CVT51" s="45"/>
      <c r="CVU51" s="45"/>
      <c r="CVV51" s="45"/>
      <c r="CVW51" s="45"/>
      <c r="CVX51" s="45"/>
      <c r="CVY51" s="45"/>
      <c r="CVZ51" s="45"/>
      <c r="CWA51" s="45"/>
      <c r="CWB51" s="45"/>
      <c r="CWC51" s="45"/>
      <c r="CWD51" s="45"/>
      <c r="CWE51" s="45"/>
      <c r="CWF51" s="45"/>
      <c r="CWG51" s="45"/>
      <c r="CWH51" s="45"/>
      <c r="CWI51" s="45"/>
      <c r="CWJ51" s="45"/>
      <c r="CWK51" s="45"/>
      <c r="CWL51" s="45"/>
      <c r="CWM51" s="45"/>
      <c r="CWN51" s="45"/>
      <c r="CWO51" s="45"/>
      <c r="CWP51" s="45"/>
      <c r="CWQ51" s="45"/>
      <c r="CWR51" s="45"/>
      <c r="CWS51" s="45"/>
      <c r="CWT51" s="45"/>
      <c r="CWU51" s="45"/>
      <c r="CWV51" s="45"/>
      <c r="CWW51" s="45"/>
      <c r="CWX51" s="45"/>
      <c r="CWY51" s="45"/>
      <c r="CWZ51" s="45"/>
      <c r="CXA51" s="45"/>
      <c r="CXB51" s="45"/>
      <c r="CXC51" s="45"/>
      <c r="CXD51" s="45"/>
      <c r="CXE51" s="45"/>
      <c r="CXF51" s="45"/>
      <c r="CXG51" s="45"/>
      <c r="CXH51" s="45"/>
      <c r="CXI51" s="45"/>
      <c r="CXJ51" s="45"/>
      <c r="CXK51" s="45"/>
      <c r="CXL51" s="45"/>
      <c r="CXM51" s="45"/>
      <c r="CXN51" s="45"/>
      <c r="CXO51" s="45"/>
      <c r="CXP51" s="45"/>
      <c r="CXQ51" s="45"/>
      <c r="CXR51" s="45"/>
      <c r="CXS51" s="45"/>
      <c r="CXT51" s="45"/>
      <c r="CXU51" s="45"/>
      <c r="CXV51" s="45"/>
      <c r="CXW51" s="45"/>
      <c r="CXX51" s="45"/>
      <c r="CXY51" s="45"/>
      <c r="CXZ51" s="45"/>
      <c r="CYA51" s="45"/>
      <c r="CYB51" s="45"/>
      <c r="CYC51" s="45"/>
      <c r="CYD51" s="45"/>
      <c r="CYE51" s="45"/>
      <c r="CYF51" s="45"/>
      <c r="CYG51" s="45"/>
      <c r="CYH51" s="45"/>
      <c r="CYI51" s="45"/>
      <c r="CYJ51" s="45"/>
      <c r="CYK51" s="45"/>
      <c r="CYL51" s="45"/>
      <c r="CYM51" s="45"/>
      <c r="CYN51" s="45"/>
      <c r="CYO51" s="45"/>
      <c r="CYP51" s="45"/>
      <c r="CYQ51" s="45"/>
      <c r="CYR51" s="45"/>
      <c r="CYS51" s="45"/>
      <c r="CYT51" s="45"/>
      <c r="CYU51" s="45"/>
      <c r="CYV51" s="45"/>
      <c r="CYW51" s="45"/>
      <c r="CYX51" s="45"/>
      <c r="CYY51" s="45"/>
      <c r="CYZ51" s="45"/>
      <c r="CZA51" s="45"/>
      <c r="CZB51" s="45"/>
      <c r="CZC51" s="45"/>
      <c r="CZD51" s="45"/>
      <c r="CZE51" s="45"/>
      <c r="CZF51" s="45"/>
      <c r="CZG51" s="45"/>
      <c r="CZH51" s="45"/>
      <c r="CZI51" s="45"/>
      <c r="CZJ51" s="45"/>
      <c r="CZK51" s="45"/>
      <c r="CZL51" s="45"/>
      <c r="CZM51" s="45"/>
      <c r="CZN51" s="45"/>
      <c r="CZO51" s="45"/>
      <c r="CZP51" s="45"/>
      <c r="CZQ51" s="45"/>
      <c r="CZR51" s="45"/>
      <c r="CZS51" s="45"/>
      <c r="CZT51" s="45"/>
      <c r="CZU51" s="45"/>
      <c r="CZV51" s="45"/>
      <c r="CZW51" s="45"/>
      <c r="CZX51" s="45"/>
      <c r="CZY51" s="45"/>
      <c r="CZZ51" s="45"/>
      <c r="DAA51" s="45"/>
      <c r="DAB51" s="45"/>
      <c r="DAC51" s="45"/>
      <c r="DAD51" s="45"/>
      <c r="DAE51" s="45"/>
      <c r="DAF51" s="45"/>
      <c r="DAG51" s="45"/>
      <c r="DAH51" s="45"/>
      <c r="DAI51" s="45"/>
      <c r="DAJ51" s="45"/>
      <c r="DAK51" s="45"/>
      <c r="DAL51" s="45"/>
      <c r="DAM51" s="45"/>
      <c r="DAN51" s="45"/>
      <c r="DAO51" s="45"/>
      <c r="DAP51" s="45"/>
      <c r="DAQ51" s="45"/>
      <c r="DAR51" s="45"/>
      <c r="DAS51" s="45"/>
      <c r="DAT51" s="45"/>
      <c r="DAU51" s="45"/>
      <c r="DAV51" s="45"/>
      <c r="DAW51" s="45"/>
      <c r="DAX51" s="45"/>
      <c r="DAY51" s="45"/>
      <c r="DAZ51" s="45"/>
      <c r="DBA51" s="45"/>
      <c r="DBB51" s="45"/>
      <c r="DBC51" s="45"/>
      <c r="DBD51" s="45"/>
      <c r="DBE51" s="45"/>
      <c r="DBF51" s="45"/>
      <c r="DBG51" s="45"/>
      <c r="DBH51" s="45"/>
      <c r="DBI51" s="45"/>
      <c r="DBJ51" s="45"/>
      <c r="DBK51" s="45"/>
      <c r="DBL51" s="45"/>
      <c r="DBM51" s="45"/>
      <c r="DBN51" s="45"/>
      <c r="DBO51" s="45"/>
      <c r="DBP51" s="45"/>
      <c r="DBQ51" s="45"/>
      <c r="DBR51" s="45"/>
      <c r="DBS51" s="45"/>
      <c r="DBT51" s="45"/>
      <c r="DBU51" s="45"/>
      <c r="DBV51" s="45"/>
      <c r="DBW51" s="45"/>
      <c r="DBX51" s="45"/>
      <c r="DBY51" s="45"/>
      <c r="DBZ51" s="45"/>
      <c r="DCA51" s="45"/>
      <c r="DCB51" s="45"/>
      <c r="DCC51" s="45"/>
      <c r="DCD51" s="45"/>
      <c r="DCE51" s="45"/>
      <c r="DCF51" s="45"/>
      <c r="DCG51" s="45"/>
      <c r="DCH51" s="45"/>
      <c r="DCI51" s="45"/>
      <c r="DCJ51" s="45"/>
      <c r="DCK51" s="45"/>
      <c r="DCL51" s="45"/>
      <c r="DCM51" s="45"/>
      <c r="DCN51" s="45"/>
      <c r="DCO51" s="45"/>
      <c r="DCP51" s="45"/>
      <c r="DCQ51" s="45"/>
      <c r="DCR51" s="45"/>
      <c r="DCS51" s="45"/>
      <c r="DCT51" s="45"/>
      <c r="DCU51" s="45"/>
      <c r="DCV51" s="45"/>
      <c r="DCW51" s="45"/>
      <c r="DCX51" s="45"/>
      <c r="DCY51" s="45"/>
      <c r="DCZ51" s="45"/>
      <c r="DDA51" s="45"/>
      <c r="DDB51" s="45"/>
      <c r="DDC51" s="45"/>
      <c r="DDD51" s="45"/>
      <c r="DDE51" s="45"/>
      <c r="DDF51" s="45"/>
      <c r="DDG51" s="45"/>
      <c r="DDH51" s="45"/>
      <c r="DDI51" s="45"/>
      <c r="DDJ51" s="45"/>
      <c r="DDK51" s="45"/>
      <c r="DDL51" s="45"/>
      <c r="DDM51" s="45"/>
      <c r="DDN51" s="45"/>
      <c r="DDO51" s="45"/>
      <c r="DDP51" s="45"/>
      <c r="DDQ51" s="45"/>
      <c r="DDR51" s="45"/>
      <c r="DDS51" s="45"/>
      <c r="DDT51" s="45"/>
      <c r="DDU51" s="45"/>
      <c r="DDV51" s="45"/>
      <c r="DDW51" s="45"/>
      <c r="DDX51" s="45"/>
      <c r="DDY51" s="45"/>
      <c r="DDZ51" s="45"/>
      <c r="DEA51" s="45"/>
      <c r="DEB51" s="45"/>
      <c r="DEC51" s="45"/>
      <c r="DED51" s="45"/>
      <c r="DEE51" s="45"/>
      <c r="DEF51" s="45"/>
      <c r="DEG51" s="45"/>
      <c r="DEH51" s="45"/>
      <c r="DEI51" s="45"/>
      <c r="DEJ51" s="45"/>
      <c r="DEK51" s="45"/>
      <c r="DEL51" s="45"/>
      <c r="DEM51" s="45"/>
      <c r="DEN51" s="45"/>
      <c r="DEO51" s="45"/>
      <c r="DEP51" s="45"/>
      <c r="DEQ51" s="45"/>
      <c r="DER51" s="45"/>
      <c r="DES51" s="45"/>
      <c r="DET51" s="45"/>
      <c r="DEU51" s="45"/>
      <c r="DEV51" s="45"/>
      <c r="DEW51" s="45"/>
      <c r="DEX51" s="45"/>
      <c r="DEY51" s="45"/>
      <c r="DEZ51" s="45"/>
      <c r="DFA51" s="45"/>
      <c r="DFB51" s="45"/>
      <c r="DFC51" s="45"/>
      <c r="DFD51" s="45"/>
      <c r="DFE51" s="45"/>
      <c r="DFF51" s="45"/>
      <c r="DFG51" s="45"/>
      <c r="DFH51" s="45"/>
      <c r="DFI51" s="45"/>
      <c r="DFJ51" s="45"/>
      <c r="DFK51" s="45"/>
      <c r="DFL51" s="45"/>
      <c r="DFM51" s="45"/>
      <c r="DFN51" s="45"/>
      <c r="DFO51" s="45"/>
      <c r="DFP51" s="45"/>
      <c r="DFQ51" s="45"/>
      <c r="DFR51" s="45"/>
      <c r="DFS51" s="45"/>
      <c r="DFT51" s="45"/>
      <c r="DFU51" s="45"/>
      <c r="DFV51" s="45"/>
      <c r="DFW51" s="45"/>
      <c r="DFX51" s="45"/>
      <c r="DFY51" s="45"/>
      <c r="DFZ51" s="45"/>
      <c r="DGA51" s="45"/>
      <c r="DGB51" s="45"/>
      <c r="DGC51" s="45"/>
      <c r="DGD51" s="45"/>
      <c r="DGE51" s="45"/>
      <c r="DGF51" s="45"/>
      <c r="DGG51" s="45"/>
      <c r="DGH51" s="45"/>
      <c r="DGI51" s="45"/>
      <c r="DGJ51" s="45"/>
      <c r="DGK51" s="45"/>
      <c r="DGL51" s="45"/>
      <c r="DGM51" s="45"/>
      <c r="DGN51" s="45"/>
      <c r="DGO51" s="45"/>
      <c r="DGP51" s="45"/>
      <c r="DGQ51" s="45"/>
      <c r="DGR51" s="45"/>
      <c r="DGS51" s="45"/>
      <c r="DGT51" s="45"/>
      <c r="DGU51" s="45"/>
      <c r="DGV51" s="45"/>
      <c r="DGW51" s="45"/>
      <c r="DGX51" s="45"/>
      <c r="DGY51" s="45"/>
      <c r="DGZ51" s="45"/>
      <c r="DHA51" s="45"/>
      <c r="DHB51" s="45"/>
      <c r="DHC51" s="45"/>
      <c r="DHD51" s="45"/>
      <c r="DHE51" s="45"/>
      <c r="DHF51" s="45"/>
      <c r="DHG51" s="45"/>
      <c r="DHH51" s="45"/>
      <c r="DHI51" s="45"/>
      <c r="DHJ51" s="45"/>
      <c r="DHK51" s="45"/>
      <c r="DHL51" s="45"/>
      <c r="DHM51" s="45"/>
      <c r="DHN51" s="45"/>
      <c r="DHO51" s="45"/>
      <c r="DHP51" s="45"/>
      <c r="DHQ51" s="45"/>
      <c r="DHR51" s="45"/>
      <c r="DHS51" s="45"/>
      <c r="DHT51" s="45"/>
      <c r="DHU51" s="45"/>
      <c r="DHV51" s="45"/>
      <c r="DHW51" s="45"/>
      <c r="DHX51" s="45"/>
      <c r="DHY51" s="45"/>
      <c r="DHZ51" s="45"/>
      <c r="DIA51" s="45"/>
      <c r="DIB51" s="45"/>
      <c r="DIC51" s="45"/>
      <c r="DID51" s="45"/>
      <c r="DIE51" s="45"/>
      <c r="DIF51" s="45"/>
      <c r="DIG51" s="45"/>
      <c r="DIH51" s="45"/>
      <c r="DII51" s="45"/>
      <c r="DIJ51" s="45"/>
      <c r="DIK51" s="45"/>
      <c r="DIL51" s="45"/>
      <c r="DIM51" s="45"/>
      <c r="DIN51" s="45"/>
      <c r="DIO51" s="45"/>
      <c r="DIP51" s="45"/>
      <c r="DIQ51" s="45"/>
      <c r="DIR51" s="45"/>
      <c r="DIS51" s="45"/>
      <c r="DIT51" s="45"/>
      <c r="DIU51" s="45"/>
      <c r="DIV51" s="45"/>
      <c r="DIW51" s="45"/>
      <c r="DIX51" s="45"/>
      <c r="DIY51" s="45"/>
      <c r="DIZ51" s="45"/>
      <c r="DJA51" s="45"/>
      <c r="DJB51" s="45"/>
      <c r="DJC51" s="45"/>
      <c r="DJD51" s="45"/>
      <c r="DJE51" s="45"/>
      <c r="DJF51" s="45"/>
      <c r="DJG51" s="45"/>
      <c r="DJH51" s="45"/>
      <c r="DJI51" s="45"/>
      <c r="DJJ51" s="45"/>
      <c r="DJK51" s="45"/>
      <c r="DJL51" s="45"/>
      <c r="DJM51" s="45"/>
      <c r="DJN51" s="45"/>
      <c r="DJO51" s="45"/>
      <c r="DJP51" s="45"/>
      <c r="DJQ51" s="45"/>
      <c r="DJR51" s="45"/>
      <c r="DJS51" s="45"/>
      <c r="DJT51" s="45"/>
      <c r="DJU51" s="45"/>
      <c r="DJV51" s="45"/>
      <c r="DJW51" s="45"/>
      <c r="DJX51" s="45"/>
      <c r="DJY51" s="45"/>
      <c r="DJZ51" s="45"/>
      <c r="DKA51" s="45"/>
      <c r="DKB51" s="45"/>
      <c r="DKC51" s="45"/>
      <c r="DKD51" s="45"/>
      <c r="DKE51" s="45"/>
      <c r="DKF51" s="45"/>
      <c r="DKG51" s="45"/>
      <c r="DKH51" s="45"/>
      <c r="DKI51" s="45"/>
      <c r="DKJ51" s="45"/>
      <c r="DKK51" s="45"/>
      <c r="DKL51" s="45"/>
      <c r="DKM51" s="45"/>
      <c r="DKN51" s="45"/>
      <c r="DKO51" s="45"/>
      <c r="DKP51" s="45"/>
      <c r="DKQ51" s="45"/>
      <c r="DKR51" s="45"/>
      <c r="DKS51" s="45"/>
      <c r="DKT51" s="45"/>
      <c r="DKU51" s="45"/>
      <c r="DKV51" s="45"/>
      <c r="DKW51" s="45"/>
      <c r="DKX51" s="45"/>
      <c r="DKY51" s="45"/>
      <c r="DKZ51" s="45"/>
      <c r="DLA51" s="45"/>
      <c r="DLB51" s="45"/>
      <c r="DLC51" s="45"/>
      <c r="DLD51" s="45"/>
      <c r="DLE51" s="45"/>
      <c r="DLF51" s="45"/>
      <c r="DLG51" s="45"/>
      <c r="DLH51" s="45"/>
      <c r="DLI51" s="45"/>
      <c r="DLJ51" s="45"/>
      <c r="DLK51" s="45"/>
      <c r="DLL51" s="45"/>
      <c r="DLM51" s="45"/>
      <c r="DLN51" s="45"/>
      <c r="DLO51" s="45"/>
      <c r="DLP51" s="45"/>
      <c r="DLQ51" s="45"/>
      <c r="DLR51" s="45"/>
      <c r="DLS51" s="45"/>
      <c r="DLT51" s="45"/>
      <c r="DLU51" s="45"/>
      <c r="DLV51" s="45"/>
      <c r="DLW51" s="45"/>
      <c r="DLX51" s="45"/>
      <c r="DLY51" s="45"/>
      <c r="DLZ51" s="45"/>
      <c r="DMA51" s="45"/>
      <c r="DMB51" s="45"/>
      <c r="DMC51" s="45"/>
      <c r="DMD51" s="45"/>
      <c r="DME51" s="45"/>
      <c r="DMF51" s="45"/>
      <c r="DMG51" s="45"/>
      <c r="DMH51" s="45"/>
      <c r="DMI51" s="45"/>
      <c r="DMJ51" s="45"/>
      <c r="DMK51" s="45"/>
      <c r="DML51" s="45"/>
      <c r="DMM51" s="45"/>
      <c r="DMN51" s="45"/>
      <c r="DMO51" s="45"/>
      <c r="DMP51" s="45"/>
      <c r="DMQ51" s="45"/>
      <c r="DMR51" s="45"/>
      <c r="DMS51" s="45"/>
      <c r="DMT51" s="45"/>
      <c r="DMU51" s="45"/>
      <c r="DMV51" s="45"/>
      <c r="DMW51" s="45"/>
      <c r="DMX51" s="45"/>
      <c r="DMY51" s="45"/>
      <c r="DMZ51" s="45"/>
      <c r="DNA51" s="45"/>
      <c r="DNB51" s="45"/>
      <c r="DNC51" s="45"/>
      <c r="DND51" s="45"/>
      <c r="DNE51" s="45"/>
      <c r="DNF51" s="45"/>
      <c r="DNG51" s="45"/>
      <c r="DNH51" s="45"/>
      <c r="DNI51" s="45"/>
      <c r="DNJ51" s="45"/>
      <c r="DNK51" s="45"/>
      <c r="DNL51" s="45"/>
      <c r="DNM51" s="45"/>
      <c r="DNN51" s="45"/>
      <c r="DNO51" s="45"/>
      <c r="DNP51" s="45"/>
      <c r="DNQ51" s="45"/>
      <c r="DNR51" s="45"/>
      <c r="DNS51" s="45"/>
      <c r="DNT51" s="45"/>
      <c r="DNU51" s="45"/>
      <c r="DNV51" s="45"/>
      <c r="DNW51" s="45"/>
      <c r="DNX51" s="45"/>
      <c r="DNY51" s="45"/>
      <c r="DNZ51" s="45"/>
      <c r="DOA51" s="45"/>
      <c r="DOB51" s="45"/>
      <c r="DOC51" s="45"/>
      <c r="DOD51" s="45"/>
      <c r="DOE51" s="45"/>
      <c r="DOF51" s="45"/>
      <c r="DOG51" s="45"/>
      <c r="DOH51" s="45"/>
      <c r="DOI51" s="45"/>
      <c r="DOJ51" s="45"/>
      <c r="DOK51" s="45"/>
      <c r="DOL51" s="45"/>
      <c r="DOM51" s="45"/>
      <c r="DON51" s="45"/>
      <c r="DOO51" s="45"/>
      <c r="DOP51" s="45"/>
      <c r="DOQ51" s="45"/>
      <c r="DOR51" s="45"/>
      <c r="DOS51" s="45"/>
      <c r="DOT51" s="45"/>
      <c r="DOU51" s="45"/>
      <c r="DOV51" s="45"/>
      <c r="DOW51" s="45"/>
      <c r="DOX51" s="45"/>
      <c r="DOY51" s="45"/>
      <c r="DOZ51" s="45"/>
      <c r="DPA51" s="45"/>
      <c r="DPB51" s="45"/>
      <c r="DPC51" s="45"/>
      <c r="DPD51" s="45"/>
      <c r="DPE51" s="45"/>
      <c r="DPF51" s="45"/>
      <c r="DPG51" s="45"/>
      <c r="DPH51" s="45"/>
      <c r="DPI51" s="45"/>
      <c r="DPJ51" s="45"/>
      <c r="DPK51" s="45"/>
      <c r="DPL51" s="45"/>
      <c r="DPM51" s="45"/>
      <c r="DPN51" s="45"/>
      <c r="DPO51" s="45"/>
      <c r="DPP51" s="45"/>
      <c r="DPQ51" s="45"/>
      <c r="DPR51" s="45"/>
      <c r="DPS51" s="45"/>
      <c r="DPT51" s="45"/>
      <c r="DPU51" s="45"/>
      <c r="DPV51" s="45"/>
      <c r="DPW51" s="45"/>
      <c r="DPX51" s="45"/>
      <c r="DPY51" s="45"/>
      <c r="DPZ51" s="45"/>
      <c r="DQA51" s="45"/>
      <c r="DQB51" s="45"/>
      <c r="DQC51" s="45"/>
      <c r="DQD51" s="45"/>
      <c r="DQE51" s="45"/>
      <c r="DQF51" s="45"/>
      <c r="DQG51" s="45"/>
      <c r="DQH51" s="45"/>
      <c r="DQI51" s="45"/>
      <c r="DQJ51" s="45"/>
      <c r="DQK51" s="45"/>
      <c r="DQL51" s="45"/>
      <c r="DQM51" s="45"/>
      <c r="DQN51" s="45"/>
      <c r="DQO51" s="45"/>
      <c r="DQP51" s="45"/>
      <c r="DQQ51" s="45"/>
      <c r="DQR51" s="45"/>
      <c r="DQS51" s="45"/>
      <c r="DQT51" s="45"/>
      <c r="DQU51" s="45"/>
      <c r="DQV51" s="45"/>
      <c r="DQW51" s="45"/>
      <c r="DQX51" s="45"/>
      <c r="DQY51" s="45"/>
      <c r="DQZ51" s="45"/>
      <c r="DRA51" s="45"/>
      <c r="DRB51" s="45"/>
      <c r="DRC51" s="45"/>
      <c r="DRD51" s="45"/>
      <c r="DRE51" s="45"/>
      <c r="DRF51" s="45"/>
      <c r="DRG51" s="45"/>
      <c r="DRH51" s="45"/>
      <c r="DRI51" s="45"/>
      <c r="DRJ51" s="45"/>
      <c r="DRK51" s="45"/>
      <c r="DRL51" s="45"/>
      <c r="DRM51" s="45"/>
      <c r="DRN51" s="45"/>
      <c r="DRO51" s="45"/>
      <c r="DRP51" s="45"/>
      <c r="DRQ51" s="45"/>
      <c r="DRR51" s="45"/>
      <c r="DRS51" s="45"/>
      <c r="DRT51" s="45"/>
      <c r="DRU51" s="45"/>
      <c r="DRV51" s="45"/>
      <c r="DRW51" s="45"/>
      <c r="DRX51" s="45"/>
      <c r="DRY51" s="45"/>
      <c r="DRZ51" s="45"/>
      <c r="DSA51" s="45"/>
      <c r="DSB51" s="45"/>
      <c r="DSC51" s="45"/>
      <c r="DSD51" s="45"/>
      <c r="DSE51" s="45"/>
      <c r="DSF51" s="45"/>
      <c r="DSG51" s="45"/>
      <c r="DSH51" s="45"/>
      <c r="DSI51" s="45"/>
      <c r="DSJ51" s="45"/>
      <c r="DSK51" s="45"/>
      <c r="DSL51" s="45"/>
      <c r="DSM51" s="45"/>
      <c r="DSN51" s="45"/>
      <c r="DSO51" s="45"/>
      <c r="DSP51" s="45"/>
      <c r="DSQ51" s="45"/>
      <c r="DSR51" s="45"/>
      <c r="DSS51" s="45"/>
      <c r="DST51" s="45"/>
      <c r="DSU51" s="45"/>
      <c r="DSV51" s="45"/>
      <c r="DSW51" s="45"/>
      <c r="DSX51" s="45"/>
      <c r="DSY51" s="45"/>
      <c r="DSZ51" s="45"/>
      <c r="DTA51" s="45"/>
      <c r="DTB51" s="45"/>
      <c r="DTC51" s="45"/>
      <c r="DTD51" s="45"/>
      <c r="DTE51" s="45"/>
      <c r="DTF51" s="45"/>
      <c r="DTG51" s="45"/>
      <c r="DTH51" s="45"/>
      <c r="DTI51" s="45"/>
      <c r="DTJ51" s="45"/>
      <c r="DTK51" s="45"/>
      <c r="DTL51" s="45"/>
      <c r="DTM51" s="45"/>
      <c r="DTN51" s="45"/>
      <c r="DTO51" s="45"/>
      <c r="DTP51" s="45"/>
      <c r="DTQ51" s="45"/>
      <c r="DTR51" s="45"/>
      <c r="DTS51" s="45"/>
      <c r="DTT51" s="45"/>
      <c r="DTU51" s="45"/>
      <c r="DTV51" s="45"/>
      <c r="DTW51" s="45"/>
      <c r="DTX51" s="45"/>
      <c r="DTY51" s="45"/>
      <c r="DTZ51" s="45"/>
      <c r="DUA51" s="45"/>
      <c r="DUB51" s="45"/>
      <c r="DUC51" s="45"/>
      <c r="DUD51" s="45"/>
      <c r="DUE51" s="45"/>
      <c r="DUF51" s="45"/>
      <c r="DUG51" s="45"/>
      <c r="DUH51" s="45"/>
      <c r="DUI51" s="45"/>
      <c r="DUJ51" s="45"/>
      <c r="DUK51" s="45"/>
      <c r="DUL51" s="45"/>
      <c r="DUM51" s="45"/>
      <c r="DUN51" s="45"/>
      <c r="DUO51" s="45"/>
      <c r="DUP51" s="45"/>
      <c r="DUQ51" s="45"/>
      <c r="DUR51" s="45"/>
      <c r="DUS51" s="45"/>
      <c r="DUT51" s="45"/>
      <c r="DUU51" s="45"/>
      <c r="DUV51" s="45"/>
      <c r="DUW51" s="45"/>
      <c r="DUX51" s="45"/>
      <c r="DUY51" s="45"/>
      <c r="DUZ51" s="45"/>
      <c r="DVA51" s="45"/>
      <c r="DVB51" s="45"/>
      <c r="DVC51" s="45"/>
      <c r="DVD51" s="45"/>
      <c r="DVE51" s="45"/>
      <c r="DVF51" s="45"/>
      <c r="DVG51" s="45"/>
      <c r="DVH51" s="45"/>
      <c r="DVI51" s="45"/>
      <c r="DVJ51" s="45"/>
      <c r="DVK51" s="45"/>
      <c r="DVL51" s="45"/>
      <c r="DVM51" s="45"/>
      <c r="DVN51" s="45"/>
      <c r="DVO51" s="45"/>
      <c r="DVP51" s="45"/>
      <c r="DVQ51" s="45"/>
      <c r="DVR51" s="45"/>
      <c r="DVS51" s="45"/>
      <c r="DVT51" s="45"/>
      <c r="DVU51" s="45"/>
      <c r="DVV51" s="45"/>
      <c r="DVW51" s="45"/>
      <c r="DVX51" s="45"/>
      <c r="DVY51" s="45"/>
      <c r="DVZ51" s="45"/>
      <c r="DWA51" s="45"/>
      <c r="DWB51" s="45"/>
      <c r="DWC51" s="45"/>
      <c r="DWD51" s="45"/>
      <c r="DWE51" s="45"/>
      <c r="DWF51" s="45"/>
      <c r="DWG51" s="45"/>
      <c r="DWH51" s="45"/>
      <c r="DWI51" s="45"/>
      <c r="DWJ51" s="45"/>
      <c r="DWK51" s="45"/>
      <c r="DWL51" s="45"/>
      <c r="DWM51" s="45"/>
      <c r="DWN51" s="45"/>
      <c r="DWO51" s="45"/>
      <c r="DWP51" s="45"/>
      <c r="DWQ51" s="45"/>
      <c r="DWR51" s="45"/>
      <c r="DWS51" s="45"/>
      <c r="DWT51" s="45"/>
      <c r="DWU51" s="45"/>
      <c r="DWV51" s="45"/>
      <c r="DWW51" s="45"/>
      <c r="DWX51" s="45"/>
      <c r="DWY51" s="45"/>
      <c r="DWZ51" s="45"/>
      <c r="DXA51" s="45"/>
      <c r="DXB51" s="45"/>
      <c r="DXC51" s="45"/>
      <c r="DXD51" s="45"/>
      <c r="DXE51" s="45"/>
      <c r="DXF51" s="45"/>
      <c r="DXG51" s="45"/>
      <c r="DXH51" s="45"/>
      <c r="DXI51" s="45"/>
      <c r="DXJ51" s="45"/>
      <c r="DXK51" s="45"/>
      <c r="DXL51" s="45"/>
      <c r="DXM51" s="45"/>
      <c r="DXN51" s="45"/>
      <c r="DXO51" s="45"/>
      <c r="DXP51" s="45"/>
      <c r="DXQ51" s="45"/>
      <c r="DXR51" s="45"/>
      <c r="DXS51" s="45"/>
      <c r="DXT51" s="45"/>
      <c r="DXU51" s="45"/>
      <c r="DXV51" s="45"/>
      <c r="DXW51" s="45"/>
      <c r="DXX51" s="45"/>
      <c r="DXY51" s="45"/>
      <c r="DXZ51" s="45"/>
      <c r="DYA51" s="45"/>
      <c r="DYB51" s="45"/>
      <c r="DYC51" s="45"/>
      <c r="DYD51" s="45"/>
      <c r="DYE51" s="45"/>
      <c r="DYF51" s="45"/>
      <c r="DYG51" s="45"/>
      <c r="DYH51" s="45"/>
      <c r="DYI51" s="45"/>
      <c r="DYJ51" s="45"/>
      <c r="DYK51" s="45"/>
      <c r="DYL51" s="45"/>
      <c r="DYM51" s="45"/>
      <c r="DYN51" s="45"/>
      <c r="DYO51" s="45"/>
      <c r="DYP51" s="45"/>
      <c r="DYQ51" s="45"/>
      <c r="DYR51" s="45"/>
      <c r="DYS51" s="45"/>
      <c r="DYT51" s="45"/>
      <c r="DYU51" s="45"/>
      <c r="DYV51" s="45"/>
      <c r="DYW51" s="45"/>
      <c r="DYX51" s="45"/>
      <c r="DYY51" s="45"/>
      <c r="DYZ51" s="45"/>
      <c r="DZA51" s="45"/>
      <c r="DZB51" s="45"/>
      <c r="DZC51" s="45"/>
      <c r="DZD51" s="45"/>
      <c r="DZE51" s="45"/>
      <c r="DZF51" s="45"/>
      <c r="DZG51" s="45"/>
      <c r="DZH51" s="45"/>
      <c r="DZI51" s="45"/>
      <c r="DZJ51" s="45"/>
      <c r="DZK51" s="45"/>
      <c r="DZL51" s="45"/>
      <c r="DZM51" s="45"/>
      <c r="DZN51" s="45"/>
      <c r="DZO51" s="45"/>
      <c r="DZP51" s="45"/>
      <c r="DZQ51" s="45"/>
      <c r="DZR51" s="45"/>
      <c r="DZS51" s="45"/>
      <c r="DZT51" s="45"/>
      <c r="DZU51" s="45"/>
      <c r="DZV51" s="45"/>
      <c r="DZW51" s="45"/>
      <c r="DZX51" s="45"/>
      <c r="DZY51" s="45"/>
      <c r="DZZ51" s="45"/>
      <c r="EAA51" s="45"/>
      <c r="EAB51" s="45"/>
      <c r="EAC51" s="45"/>
      <c r="EAD51" s="45"/>
      <c r="EAE51" s="45"/>
      <c r="EAF51" s="45"/>
      <c r="EAG51" s="45"/>
      <c r="EAH51" s="45"/>
      <c r="EAI51" s="45"/>
      <c r="EAJ51" s="45"/>
      <c r="EAK51" s="45"/>
      <c r="EAL51" s="45"/>
      <c r="EAM51" s="45"/>
      <c r="EAN51" s="45"/>
      <c r="EAO51" s="45"/>
      <c r="EAP51" s="45"/>
      <c r="EAQ51" s="45"/>
      <c r="EAR51" s="45"/>
      <c r="EAS51" s="45"/>
      <c r="EAT51" s="45"/>
      <c r="EAU51" s="45"/>
      <c r="EAV51" s="45"/>
      <c r="EAW51" s="45"/>
      <c r="EAX51" s="45"/>
      <c r="EAY51" s="45"/>
      <c r="EAZ51" s="45"/>
      <c r="EBA51" s="45"/>
      <c r="EBB51" s="45"/>
      <c r="EBC51" s="45"/>
      <c r="EBD51" s="45"/>
      <c r="EBE51" s="45"/>
      <c r="EBF51" s="45"/>
      <c r="EBG51" s="45"/>
      <c r="EBH51" s="45"/>
      <c r="EBI51" s="45"/>
      <c r="EBJ51" s="45"/>
      <c r="EBK51" s="45"/>
      <c r="EBL51" s="45"/>
      <c r="EBM51" s="45"/>
      <c r="EBN51" s="45"/>
      <c r="EBO51" s="45"/>
      <c r="EBP51" s="45"/>
      <c r="EBQ51" s="45"/>
      <c r="EBR51" s="45"/>
      <c r="EBS51" s="45"/>
      <c r="EBT51" s="45"/>
      <c r="EBU51" s="45"/>
      <c r="EBV51" s="45"/>
      <c r="EBW51" s="45"/>
      <c r="EBX51" s="45"/>
      <c r="EBY51" s="45"/>
      <c r="EBZ51" s="45"/>
      <c r="ECA51" s="45"/>
      <c r="ECB51" s="45"/>
      <c r="ECC51" s="45"/>
      <c r="ECD51" s="45"/>
      <c r="ECE51" s="45"/>
      <c r="ECF51" s="45"/>
      <c r="ECG51" s="45"/>
      <c r="ECH51" s="45"/>
      <c r="ECI51" s="45"/>
      <c r="ECJ51" s="45"/>
      <c r="ECK51" s="45"/>
      <c r="ECL51" s="45"/>
      <c r="ECM51" s="45"/>
      <c r="ECN51" s="45"/>
      <c r="ECO51" s="45"/>
      <c r="ECP51" s="45"/>
      <c r="ECQ51" s="45"/>
      <c r="ECR51" s="45"/>
      <c r="ECS51" s="45"/>
      <c r="ECT51" s="45"/>
      <c r="ECU51" s="45"/>
      <c r="ECV51" s="45"/>
      <c r="ECW51" s="45"/>
      <c r="ECX51" s="45"/>
      <c r="ECY51" s="45"/>
      <c r="ECZ51" s="45"/>
      <c r="EDA51" s="45"/>
      <c r="EDB51" s="45"/>
      <c r="EDC51" s="45"/>
      <c r="EDD51" s="45"/>
      <c r="EDE51" s="45"/>
      <c r="EDF51" s="45"/>
      <c r="EDG51" s="45"/>
      <c r="EDH51" s="45"/>
      <c r="EDI51" s="45"/>
      <c r="EDJ51" s="45"/>
      <c r="EDK51" s="45"/>
      <c r="EDL51" s="45"/>
      <c r="EDM51" s="45"/>
      <c r="EDN51" s="45"/>
      <c r="EDO51" s="45"/>
      <c r="EDP51" s="45"/>
      <c r="EDQ51" s="45"/>
      <c r="EDR51" s="45"/>
      <c r="EDS51" s="45"/>
      <c r="EDT51" s="45"/>
      <c r="EDU51" s="45"/>
      <c r="EDV51" s="45"/>
      <c r="EDW51" s="45"/>
      <c r="EDX51" s="45"/>
      <c r="EDY51" s="45"/>
      <c r="EDZ51" s="45"/>
      <c r="EEA51" s="45"/>
      <c r="EEB51" s="45"/>
      <c r="EEC51" s="45"/>
      <c r="EED51" s="45"/>
      <c r="EEE51" s="45"/>
      <c r="EEF51" s="45"/>
      <c r="EEG51" s="45"/>
      <c r="EEH51" s="45"/>
      <c r="EEI51" s="45"/>
      <c r="EEJ51" s="45"/>
      <c r="EEK51" s="45"/>
      <c r="EEL51" s="45"/>
      <c r="EEM51" s="45"/>
      <c r="EEN51" s="45"/>
      <c r="EEO51" s="45"/>
      <c r="EEP51" s="45"/>
      <c r="EEQ51" s="45"/>
      <c r="EER51" s="45"/>
      <c r="EES51" s="45"/>
      <c r="EET51" s="45"/>
      <c r="EEU51" s="45"/>
      <c r="EEV51" s="45"/>
      <c r="EEW51" s="45"/>
      <c r="EEX51" s="45"/>
      <c r="EEY51" s="45"/>
      <c r="EEZ51" s="45"/>
      <c r="EFA51" s="45"/>
      <c r="EFB51" s="45"/>
      <c r="EFC51" s="45"/>
      <c r="EFD51" s="45"/>
      <c r="EFE51" s="45"/>
      <c r="EFF51" s="45"/>
      <c r="EFG51" s="45"/>
      <c r="EFH51" s="45"/>
      <c r="EFI51" s="45"/>
      <c r="EFJ51" s="45"/>
      <c r="EFK51" s="45"/>
      <c r="EFL51" s="45"/>
      <c r="EFM51" s="45"/>
      <c r="EFN51" s="45"/>
      <c r="EFO51" s="45"/>
      <c r="EFP51" s="45"/>
      <c r="EFQ51" s="45"/>
      <c r="EFR51" s="45"/>
      <c r="EFS51" s="45"/>
      <c r="EFT51" s="45"/>
      <c r="EFU51" s="45"/>
      <c r="EFV51" s="45"/>
      <c r="EFW51" s="45"/>
      <c r="EFX51" s="45"/>
      <c r="EFY51" s="45"/>
      <c r="EFZ51" s="45"/>
      <c r="EGA51" s="45"/>
      <c r="EGB51" s="45"/>
      <c r="EGC51" s="45"/>
      <c r="EGD51" s="45"/>
      <c r="EGE51" s="45"/>
      <c r="EGF51" s="45"/>
      <c r="EGG51" s="45"/>
      <c r="EGH51" s="45"/>
      <c r="EGI51" s="45"/>
      <c r="EGJ51" s="45"/>
      <c r="EGK51" s="45"/>
      <c r="EGL51" s="45"/>
      <c r="EGM51" s="45"/>
      <c r="EGN51" s="45"/>
      <c r="EGO51" s="45"/>
      <c r="EGP51" s="45"/>
      <c r="EGQ51" s="45"/>
      <c r="EGR51" s="45"/>
      <c r="EGS51" s="45"/>
      <c r="EGT51" s="45"/>
      <c r="EGU51" s="45"/>
      <c r="EGV51" s="45"/>
      <c r="EGW51" s="45"/>
      <c r="EGX51" s="45"/>
      <c r="EGY51" s="45"/>
      <c r="EGZ51" s="45"/>
      <c r="EHA51" s="45"/>
      <c r="EHB51" s="45"/>
      <c r="EHC51" s="45"/>
      <c r="EHD51" s="45"/>
      <c r="EHE51" s="45"/>
      <c r="EHF51" s="45"/>
      <c r="EHG51" s="45"/>
      <c r="EHH51" s="45"/>
      <c r="EHI51" s="45"/>
      <c r="EHJ51" s="45"/>
      <c r="EHK51" s="45"/>
      <c r="EHL51" s="45"/>
      <c r="EHM51" s="45"/>
      <c r="EHN51" s="45"/>
      <c r="EHO51" s="45"/>
      <c r="EHP51" s="45"/>
      <c r="EHQ51" s="45"/>
      <c r="EHR51" s="45"/>
      <c r="EHS51" s="45"/>
      <c r="EHT51" s="45"/>
      <c r="EHU51" s="45"/>
      <c r="EHV51" s="45"/>
      <c r="EHW51" s="45"/>
      <c r="EHX51" s="45"/>
      <c r="EHY51" s="45"/>
      <c r="EHZ51" s="45"/>
      <c r="EIA51" s="45"/>
      <c r="EIB51" s="45"/>
      <c r="EIC51" s="45"/>
      <c r="EID51" s="45"/>
      <c r="EIE51" s="45"/>
      <c r="EIF51" s="45"/>
      <c r="EIG51" s="45"/>
      <c r="EIH51" s="45"/>
      <c r="EII51" s="45"/>
      <c r="EIJ51" s="45"/>
      <c r="EIK51" s="45"/>
      <c r="EIL51" s="45"/>
      <c r="EIM51" s="45"/>
      <c r="EIN51" s="45"/>
      <c r="EIO51" s="45"/>
      <c r="EIP51" s="45"/>
      <c r="EIQ51" s="45"/>
      <c r="EIR51" s="45"/>
      <c r="EIS51" s="45"/>
      <c r="EIT51" s="45"/>
      <c r="EIU51" s="45"/>
      <c r="EIV51" s="45"/>
      <c r="EIW51" s="45"/>
      <c r="EIX51" s="45"/>
      <c r="EIY51" s="45"/>
      <c r="EIZ51" s="45"/>
      <c r="EJA51" s="45"/>
      <c r="EJB51" s="45"/>
      <c r="EJC51" s="45"/>
      <c r="EJD51" s="45"/>
      <c r="EJE51" s="45"/>
      <c r="EJF51" s="45"/>
      <c r="EJG51" s="45"/>
      <c r="EJH51" s="45"/>
      <c r="EJI51" s="45"/>
      <c r="EJJ51" s="45"/>
      <c r="EJK51" s="45"/>
      <c r="EJL51" s="45"/>
      <c r="EJM51" s="45"/>
      <c r="EJN51" s="45"/>
      <c r="EJO51" s="45"/>
      <c r="EJP51" s="45"/>
      <c r="EJQ51" s="45"/>
      <c r="EJR51" s="45"/>
      <c r="EJS51" s="45"/>
      <c r="EJT51" s="45"/>
      <c r="EJU51" s="45"/>
      <c r="EJV51" s="45"/>
      <c r="EJW51" s="45"/>
      <c r="EJX51" s="45"/>
      <c r="EJY51" s="45"/>
      <c r="EJZ51" s="45"/>
      <c r="EKA51" s="45"/>
      <c r="EKB51" s="45"/>
      <c r="EKC51" s="45"/>
      <c r="EKD51" s="45"/>
      <c r="EKE51" s="45"/>
      <c r="EKF51" s="45"/>
      <c r="EKG51" s="45"/>
      <c r="EKH51" s="45"/>
      <c r="EKI51" s="45"/>
      <c r="EKJ51" s="45"/>
      <c r="EKK51" s="45"/>
      <c r="EKL51" s="45"/>
      <c r="EKM51" s="45"/>
      <c r="EKN51" s="45"/>
      <c r="EKO51" s="45"/>
      <c r="EKP51" s="45"/>
      <c r="EKQ51" s="45"/>
      <c r="EKR51" s="45"/>
      <c r="EKS51" s="45"/>
      <c r="EKT51" s="45"/>
      <c r="EKU51" s="45"/>
      <c r="EKV51" s="45"/>
      <c r="EKW51" s="45"/>
      <c r="EKX51" s="45"/>
      <c r="EKY51" s="45"/>
      <c r="EKZ51" s="45"/>
      <c r="ELA51" s="45"/>
      <c r="ELB51" s="45"/>
      <c r="ELC51" s="45"/>
      <c r="ELD51" s="45"/>
      <c r="ELE51" s="45"/>
      <c r="ELF51" s="45"/>
      <c r="ELG51" s="45"/>
      <c r="ELH51" s="45"/>
      <c r="ELI51" s="45"/>
      <c r="ELJ51" s="45"/>
      <c r="ELK51" s="45"/>
      <c r="ELL51" s="45"/>
      <c r="ELM51" s="45"/>
      <c r="ELN51" s="45"/>
      <c r="ELO51" s="45"/>
      <c r="ELP51" s="45"/>
      <c r="ELQ51" s="45"/>
      <c r="ELR51" s="45"/>
      <c r="ELS51" s="45"/>
      <c r="ELT51" s="45"/>
      <c r="ELU51" s="45"/>
      <c r="ELV51" s="45"/>
      <c r="ELW51" s="45"/>
      <c r="ELX51" s="45"/>
      <c r="ELY51" s="45"/>
      <c r="ELZ51" s="45"/>
      <c r="EMA51" s="45"/>
      <c r="EMB51" s="45"/>
      <c r="EMC51" s="45"/>
      <c r="EMD51" s="45"/>
      <c r="EME51" s="45"/>
      <c r="EMF51" s="45"/>
      <c r="EMG51" s="45"/>
      <c r="EMH51" s="45"/>
      <c r="EMI51" s="45"/>
      <c r="EMJ51" s="45"/>
      <c r="EMK51" s="45"/>
      <c r="EML51" s="45"/>
      <c r="EMM51" s="45"/>
      <c r="EMN51" s="45"/>
      <c r="EMO51" s="45"/>
      <c r="EMP51" s="45"/>
      <c r="EMQ51" s="45"/>
      <c r="EMR51" s="45"/>
      <c r="EMS51" s="45"/>
      <c r="EMT51" s="45"/>
      <c r="EMU51" s="45"/>
      <c r="EMV51" s="45"/>
      <c r="EMW51" s="45"/>
      <c r="EMX51" s="45"/>
      <c r="EMY51" s="45"/>
      <c r="EMZ51" s="45"/>
      <c r="ENA51" s="45"/>
      <c r="ENB51" s="45"/>
      <c r="ENC51" s="45"/>
      <c r="END51" s="45"/>
      <c r="ENE51" s="45"/>
      <c r="ENF51" s="45"/>
      <c r="ENG51" s="45"/>
      <c r="ENH51" s="45"/>
      <c r="ENI51" s="45"/>
      <c r="ENJ51" s="45"/>
      <c r="ENK51" s="45"/>
      <c r="ENL51" s="45"/>
      <c r="ENM51" s="45"/>
      <c r="ENN51" s="45"/>
      <c r="ENO51" s="45"/>
      <c r="ENP51" s="45"/>
      <c r="ENQ51" s="45"/>
      <c r="ENR51" s="45"/>
      <c r="ENS51" s="45"/>
      <c r="ENT51" s="45"/>
      <c r="ENU51" s="45"/>
      <c r="ENV51" s="45"/>
      <c r="ENW51" s="45"/>
      <c r="ENX51" s="45"/>
      <c r="ENY51" s="45"/>
      <c r="ENZ51" s="45"/>
      <c r="EOA51" s="45"/>
      <c r="EOB51" s="45"/>
      <c r="EOC51" s="45"/>
      <c r="EOD51" s="45"/>
      <c r="EOE51" s="45"/>
      <c r="EOF51" s="45"/>
      <c r="EOG51" s="45"/>
      <c r="EOH51" s="45"/>
      <c r="EOI51" s="45"/>
      <c r="EOJ51" s="45"/>
      <c r="EOK51" s="45"/>
      <c r="EOL51" s="45"/>
      <c r="EOM51" s="45"/>
      <c r="EON51" s="45"/>
      <c r="EOO51" s="45"/>
      <c r="EOP51" s="45"/>
      <c r="EOQ51" s="45"/>
      <c r="EOR51" s="45"/>
      <c r="EOS51" s="45"/>
      <c r="EOT51" s="45"/>
      <c r="EOU51" s="45"/>
      <c r="EOV51" s="45"/>
      <c r="EOW51" s="45"/>
      <c r="EOX51" s="45"/>
      <c r="EOY51" s="45"/>
      <c r="EOZ51" s="45"/>
      <c r="EPA51" s="45"/>
      <c r="EPB51" s="45"/>
      <c r="EPC51" s="45"/>
      <c r="EPD51" s="45"/>
      <c r="EPE51" s="45"/>
      <c r="EPF51" s="45"/>
      <c r="EPG51" s="45"/>
      <c r="EPH51" s="45"/>
      <c r="EPI51" s="45"/>
      <c r="EPJ51" s="45"/>
      <c r="EPK51" s="45"/>
      <c r="EPL51" s="45"/>
      <c r="EPM51" s="45"/>
      <c r="EPN51" s="45"/>
      <c r="EPO51" s="45"/>
      <c r="EPP51" s="45"/>
      <c r="EPQ51" s="45"/>
      <c r="EPR51" s="45"/>
      <c r="EPS51" s="45"/>
      <c r="EPT51" s="45"/>
      <c r="EPU51" s="45"/>
      <c r="EPV51" s="45"/>
      <c r="EPW51" s="45"/>
      <c r="EPX51" s="45"/>
      <c r="EPY51" s="45"/>
      <c r="EPZ51" s="45"/>
      <c r="EQA51" s="45"/>
      <c r="EQB51" s="45"/>
      <c r="EQC51" s="45"/>
      <c r="EQD51" s="45"/>
      <c r="EQE51" s="45"/>
      <c r="EQF51" s="45"/>
      <c r="EQG51" s="45"/>
      <c r="EQH51" s="45"/>
      <c r="EQI51" s="45"/>
      <c r="EQJ51" s="45"/>
      <c r="EQK51" s="45"/>
      <c r="EQL51" s="45"/>
      <c r="EQM51" s="45"/>
      <c r="EQN51" s="45"/>
      <c r="EQO51" s="45"/>
      <c r="EQP51" s="45"/>
      <c r="EQQ51" s="45"/>
      <c r="EQR51" s="45"/>
      <c r="EQS51" s="45"/>
      <c r="EQT51" s="45"/>
      <c r="EQU51" s="45"/>
      <c r="EQV51" s="45"/>
      <c r="EQW51" s="45"/>
      <c r="EQX51" s="45"/>
      <c r="EQY51" s="45"/>
      <c r="EQZ51" s="45"/>
      <c r="ERA51" s="45"/>
      <c r="ERB51" s="45"/>
      <c r="ERC51" s="45"/>
      <c r="ERD51" s="45"/>
      <c r="ERE51" s="45"/>
      <c r="ERF51" s="45"/>
      <c r="ERG51" s="45"/>
      <c r="ERH51" s="45"/>
      <c r="ERI51" s="45"/>
      <c r="ERJ51" s="45"/>
      <c r="ERK51" s="45"/>
      <c r="ERL51" s="45"/>
      <c r="ERM51" s="45"/>
      <c r="ERN51" s="45"/>
      <c r="ERO51" s="45"/>
      <c r="ERP51" s="45"/>
      <c r="ERQ51" s="45"/>
      <c r="ERR51" s="45"/>
      <c r="ERS51" s="45"/>
      <c r="ERT51" s="45"/>
      <c r="ERU51" s="45"/>
      <c r="ERV51" s="45"/>
      <c r="ERW51" s="45"/>
      <c r="ERX51" s="45"/>
      <c r="ERY51" s="45"/>
      <c r="ERZ51" s="45"/>
      <c r="ESA51" s="45"/>
      <c r="ESB51" s="45"/>
      <c r="ESC51" s="45"/>
      <c r="ESD51" s="45"/>
      <c r="ESE51" s="45"/>
      <c r="ESF51" s="45"/>
      <c r="ESG51" s="45"/>
      <c r="ESH51" s="45"/>
      <c r="ESI51" s="45"/>
      <c r="ESJ51" s="45"/>
      <c r="ESK51" s="45"/>
      <c r="ESL51" s="45"/>
      <c r="ESM51" s="45"/>
      <c r="ESN51" s="45"/>
      <c r="ESO51" s="45"/>
      <c r="ESP51" s="45"/>
      <c r="ESQ51" s="45"/>
      <c r="ESR51" s="45"/>
      <c r="ESS51" s="45"/>
      <c r="EST51" s="45"/>
      <c r="ESU51" s="45"/>
      <c r="ESV51" s="45"/>
      <c r="ESW51" s="45"/>
      <c r="ESX51" s="45"/>
      <c r="ESY51" s="45"/>
      <c r="ESZ51" s="45"/>
      <c r="ETA51" s="45"/>
      <c r="ETB51" s="45"/>
      <c r="ETC51" s="45"/>
      <c r="ETD51" s="45"/>
      <c r="ETE51" s="45"/>
      <c r="ETF51" s="45"/>
      <c r="ETG51" s="45"/>
      <c r="ETH51" s="45"/>
      <c r="ETI51" s="45"/>
      <c r="ETJ51" s="45"/>
      <c r="ETK51" s="45"/>
      <c r="ETL51" s="45"/>
      <c r="ETM51" s="45"/>
      <c r="ETN51" s="45"/>
      <c r="ETO51" s="45"/>
      <c r="ETP51" s="45"/>
      <c r="ETQ51" s="45"/>
      <c r="ETR51" s="45"/>
      <c r="ETS51" s="45"/>
      <c r="ETT51" s="45"/>
      <c r="ETU51" s="45"/>
      <c r="ETV51" s="45"/>
      <c r="ETW51" s="45"/>
      <c r="ETX51" s="45"/>
      <c r="ETY51" s="45"/>
      <c r="ETZ51" s="45"/>
      <c r="EUA51" s="45"/>
      <c r="EUB51" s="45"/>
      <c r="EUC51" s="45"/>
      <c r="EUD51" s="45"/>
      <c r="EUE51" s="45"/>
      <c r="EUF51" s="45"/>
      <c r="EUG51" s="45"/>
      <c r="EUH51" s="45"/>
      <c r="EUI51" s="45"/>
      <c r="EUJ51" s="45"/>
      <c r="EUK51" s="45"/>
      <c r="EUL51" s="45"/>
      <c r="EUM51" s="45"/>
      <c r="EUN51" s="45"/>
      <c r="EUO51" s="45"/>
      <c r="EUP51" s="45"/>
      <c r="EUQ51" s="45"/>
      <c r="EUR51" s="45"/>
      <c r="EUS51" s="45"/>
      <c r="EUT51" s="45"/>
      <c r="EUU51" s="45"/>
      <c r="EUV51" s="45"/>
      <c r="EUW51" s="45"/>
      <c r="EUX51" s="45"/>
      <c r="EUY51" s="45"/>
      <c r="EUZ51" s="45"/>
      <c r="EVA51" s="45"/>
      <c r="EVB51" s="45"/>
      <c r="EVC51" s="45"/>
      <c r="EVD51" s="45"/>
      <c r="EVE51" s="45"/>
      <c r="EVF51" s="45"/>
      <c r="EVG51" s="45"/>
      <c r="EVH51" s="45"/>
      <c r="EVI51" s="45"/>
      <c r="EVJ51" s="45"/>
      <c r="EVK51" s="45"/>
      <c r="EVL51" s="45"/>
      <c r="EVM51" s="45"/>
      <c r="EVN51" s="45"/>
      <c r="EVO51" s="45"/>
      <c r="EVP51" s="45"/>
      <c r="EVQ51" s="45"/>
      <c r="EVR51" s="45"/>
      <c r="EVS51" s="45"/>
      <c r="EVT51" s="45"/>
      <c r="EVU51" s="45"/>
      <c r="EVV51" s="45"/>
      <c r="EVW51" s="45"/>
      <c r="EVX51" s="45"/>
      <c r="EVY51" s="45"/>
      <c r="EVZ51" s="45"/>
      <c r="EWA51" s="45"/>
      <c r="EWB51" s="45"/>
      <c r="EWC51" s="45"/>
      <c r="EWD51" s="45"/>
      <c r="EWE51" s="45"/>
      <c r="EWF51" s="45"/>
      <c r="EWG51" s="45"/>
      <c r="EWH51" s="45"/>
      <c r="EWI51" s="45"/>
      <c r="EWJ51" s="45"/>
      <c r="EWK51" s="45"/>
      <c r="EWL51" s="45"/>
      <c r="EWM51" s="45"/>
      <c r="EWN51" s="45"/>
      <c r="EWO51" s="45"/>
      <c r="EWP51" s="45"/>
      <c r="EWQ51" s="45"/>
      <c r="EWR51" s="45"/>
      <c r="EWS51" s="45"/>
      <c r="EWT51" s="45"/>
      <c r="EWU51" s="45"/>
      <c r="EWV51" s="45"/>
      <c r="EWW51" s="45"/>
      <c r="EWX51" s="45"/>
      <c r="EWY51" s="45"/>
      <c r="EWZ51" s="45"/>
      <c r="EXA51" s="45"/>
      <c r="EXB51" s="45"/>
      <c r="EXC51" s="45"/>
      <c r="EXD51" s="45"/>
      <c r="EXE51" s="45"/>
      <c r="EXF51" s="45"/>
      <c r="EXG51" s="45"/>
      <c r="EXH51" s="45"/>
      <c r="EXI51" s="45"/>
      <c r="EXJ51" s="45"/>
      <c r="EXK51" s="45"/>
      <c r="EXL51" s="45"/>
      <c r="EXM51" s="45"/>
      <c r="EXN51" s="45"/>
      <c r="EXO51" s="45"/>
      <c r="EXP51" s="45"/>
      <c r="EXQ51" s="45"/>
      <c r="EXR51" s="45"/>
      <c r="EXS51" s="45"/>
      <c r="EXT51" s="45"/>
      <c r="EXU51" s="45"/>
      <c r="EXV51" s="45"/>
      <c r="EXW51" s="45"/>
      <c r="EXX51" s="45"/>
      <c r="EXY51" s="45"/>
      <c r="EXZ51" s="45"/>
      <c r="EYA51" s="45"/>
      <c r="EYB51" s="45"/>
      <c r="EYC51" s="45"/>
      <c r="EYD51" s="45"/>
      <c r="EYE51" s="45"/>
      <c r="EYF51" s="45"/>
      <c r="EYG51" s="45"/>
      <c r="EYH51" s="45"/>
      <c r="EYI51" s="45"/>
      <c r="EYJ51" s="45"/>
      <c r="EYK51" s="45"/>
      <c r="EYL51" s="45"/>
      <c r="EYM51" s="45"/>
      <c r="EYN51" s="45"/>
      <c r="EYO51" s="45"/>
      <c r="EYP51" s="45"/>
      <c r="EYQ51" s="45"/>
      <c r="EYR51" s="45"/>
      <c r="EYS51" s="45"/>
      <c r="EYT51" s="45"/>
      <c r="EYU51" s="45"/>
      <c r="EYV51" s="45"/>
      <c r="EYW51" s="45"/>
      <c r="EYX51" s="45"/>
      <c r="EYY51" s="45"/>
      <c r="EYZ51" s="45"/>
      <c r="EZA51" s="45"/>
      <c r="EZB51" s="45"/>
      <c r="EZC51" s="45"/>
      <c r="EZD51" s="45"/>
      <c r="EZE51" s="45"/>
      <c r="EZF51" s="45"/>
      <c r="EZG51" s="45"/>
      <c r="EZH51" s="45"/>
      <c r="EZI51" s="45"/>
      <c r="EZJ51" s="45"/>
      <c r="EZK51" s="45"/>
      <c r="EZL51" s="45"/>
      <c r="EZM51" s="45"/>
      <c r="EZN51" s="45"/>
      <c r="EZO51" s="45"/>
      <c r="EZP51" s="45"/>
      <c r="EZQ51" s="45"/>
      <c r="EZR51" s="45"/>
      <c r="EZS51" s="45"/>
      <c r="EZT51" s="45"/>
      <c r="EZU51" s="45"/>
      <c r="EZV51" s="45"/>
      <c r="EZW51" s="45"/>
      <c r="EZX51" s="45"/>
      <c r="EZY51" s="45"/>
      <c r="EZZ51" s="45"/>
      <c r="FAA51" s="45"/>
      <c r="FAB51" s="45"/>
      <c r="FAC51" s="45"/>
      <c r="FAD51" s="45"/>
      <c r="FAE51" s="45"/>
      <c r="FAF51" s="45"/>
      <c r="FAG51" s="45"/>
      <c r="FAH51" s="45"/>
      <c r="FAI51" s="45"/>
      <c r="FAJ51" s="45"/>
      <c r="FAK51" s="45"/>
      <c r="FAL51" s="45"/>
      <c r="FAM51" s="45"/>
      <c r="FAN51" s="45"/>
      <c r="FAO51" s="45"/>
      <c r="FAP51" s="45"/>
      <c r="FAQ51" s="45"/>
      <c r="FAR51" s="45"/>
      <c r="FAS51" s="45"/>
      <c r="FAT51" s="45"/>
      <c r="FAU51" s="45"/>
      <c r="FAV51" s="45"/>
      <c r="FAW51" s="45"/>
      <c r="FAX51" s="45"/>
      <c r="FAY51" s="45"/>
      <c r="FAZ51" s="45"/>
      <c r="FBA51" s="45"/>
      <c r="FBB51" s="45"/>
      <c r="FBC51" s="45"/>
      <c r="FBD51" s="45"/>
      <c r="FBE51" s="45"/>
      <c r="FBF51" s="45"/>
      <c r="FBG51" s="45"/>
      <c r="FBH51" s="45"/>
      <c r="FBI51" s="45"/>
      <c r="FBJ51" s="45"/>
      <c r="FBK51" s="45"/>
      <c r="FBL51" s="45"/>
      <c r="FBM51" s="45"/>
      <c r="FBN51" s="45"/>
      <c r="FBO51" s="45"/>
      <c r="FBP51" s="45"/>
      <c r="FBQ51" s="45"/>
      <c r="FBR51" s="45"/>
      <c r="FBS51" s="45"/>
      <c r="FBT51" s="45"/>
      <c r="FBU51" s="45"/>
      <c r="FBV51" s="45"/>
      <c r="FBW51" s="45"/>
      <c r="FBX51" s="45"/>
      <c r="FBY51" s="45"/>
      <c r="FBZ51" s="45"/>
      <c r="FCA51" s="45"/>
      <c r="FCB51" s="45"/>
      <c r="FCC51" s="45"/>
      <c r="FCD51" s="45"/>
      <c r="FCE51" s="45"/>
      <c r="FCF51" s="45"/>
      <c r="FCG51" s="45"/>
      <c r="FCH51" s="45"/>
      <c r="FCI51" s="45"/>
      <c r="FCJ51" s="45"/>
      <c r="FCK51" s="45"/>
      <c r="FCL51" s="45"/>
      <c r="FCM51" s="45"/>
      <c r="FCN51" s="45"/>
      <c r="FCO51" s="45"/>
      <c r="FCP51" s="45"/>
      <c r="FCQ51" s="45"/>
      <c r="FCR51" s="45"/>
      <c r="FCS51" s="45"/>
      <c r="FCT51" s="45"/>
      <c r="FCU51" s="45"/>
      <c r="FCV51" s="45"/>
      <c r="FCW51" s="45"/>
      <c r="FCX51" s="45"/>
      <c r="FCY51" s="45"/>
      <c r="FCZ51" s="45"/>
      <c r="FDA51" s="45"/>
      <c r="FDB51" s="45"/>
      <c r="FDC51" s="45"/>
      <c r="FDD51" s="45"/>
      <c r="FDE51" s="45"/>
      <c r="FDF51" s="45"/>
      <c r="FDG51" s="45"/>
      <c r="FDH51" s="45"/>
      <c r="FDI51" s="45"/>
      <c r="FDJ51" s="45"/>
      <c r="FDK51" s="45"/>
      <c r="FDL51" s="45"/>
      <c r="FDM51" s="45"/>
      <c r="FDN51" s="45"/>
      <c r="FDO51" s="45"/>
      <c r="FDP51" s="45"/>
      <c r="FDQ51" s="45"/>
      <c r="FDR51" s="45"/>
      <c r="FDS51" s="45"/>
      <c r="FDT51" s="45"/>
      <c r="FDU51" s="45"/>
      <c r="FDV51" s="45"/>
      <c r="FDW51" s="45"/>
      <c r="FDX51" s="45"/>
      <c r="FDY51" s="45"/>
      <c r="FDZ51" s="45"/>
      <c r="FEA51" s="45"/>
      <c r="FEB51" s="45"/>
      <c r="FEC51" s="45"/>
      <c r="FED51" s="45"/>
      <c r="FEE51" s="45"/>
      <c r="FEF51" s="45"/>
      <c r="FEG51" s="45"/>
      <c r="FEH51" s="45"/>
      <c r="FEI51" s="45"/>
      <c r="FEJ51" s="45"/>
      <c r="FEK51" s="45"/>
      <c r="FEL51" s="45"/>
      <c r="FEM51" s="45"/>
      <c r="FEN51" s="45"/>
      <c r="FEO51" s="45"/>
      <c r="FEP51" s="45"/>
      <c r="FEQ51" s="45"/>
      <c r="FER51" s="45"/>
      <c r="FES51" s="45"/>
      <c r="FET51" s="45"/>
      <c r="FEU51" s="45"/>
      <c r="FEV51" s="45"/>
      <c r="FEW51" s="45"/>
      <c r="FEX51" s="45"/>
      <c r="FEY51" s="45"/>
      <c r="FEZ51" s="45"/>
      <c r="FFA51" s="45"/>
      <c r="FFB51" s="45"/>
      <c r="FFC51" s="45"/>
      <c r="FFD51" s="45"/>
      <c r="FFE51" s="45"/>
      <c r="FFF51" s="45"/>
      <c r="FFG51" s="45"/>
      <c r="FFH51" s="45"/>
      <c r="FFI51" s="45"/>
      <c r="FFJ51" s="45"/>
      <c r="FFK51" s="45"/>
      <c r="FFL51" s="45"/>
      <c r="FFM51" s="45"/>
      <c r="FFN51" s="45"/>
      <c r="FFO51" s="45"/>
      <c r="FFP51" s="45"/>
      <c r="FFQ51" s="45"/>
      <c r="FFR51" s="45"/>
      <c r="FFS51" s="45"/>
      <c r="FFT51" s="45"/>
      <c r="FFU51" s="45"/>
      <c r="FFV51" s="45"/>
      <c r="FFW51" s="45"/>
      <c r="FFX51" s="45"/>
      <c r="FFY51" s="45"/>
      <c r="FFZ51" s="45"/>
      <c r="FGA51" s="45"/>
      <c r="FGB51" s="45"/>
      <c r="FGC51" s="45"/>
      <c r="FGD51" s="45"/>
      <c r="FGE51" s="45"/>
      <c r="FGF51" s="45"/>
      <c r="FGG51" s="45"/>
      <c r="FGH51" s="45"/>
      <c r="FGI51" s="45"/>
      <c r="FGJ51" s="45"/>
      <c r="FGK51" s="45"/>
      <c r="FGL51" s="45"/>
      <c r="FGM51" s="45"/>
      <c r="FGN51" s="45"/>
      <c r="FGO51" s="45"/>
      <c r="FGP51" s="45"/>
      <c r="FGQ51" s="45"/>
      <c r="FGR51" s="45"/>
      <c r="FGS51" s="45"/>
      <c r="FGT51" s="45"/>
      <c r="FGU51" s="45"/>
      <c r="FGV51" s="45"/>
      <c r="FGW51" s="45"/>
      <c r="FGX51" s="45"/>
      <c r="FGY51" s="45"/>
      <c r="FGZ51" s="45"/>
      <c r="FHA51" s="45"/>
      <c r="FHB51" s="45"/>
      <c r="FHC51" s="45"/>
      <c r="FHD51" s="45"/>
      <c r="FHE51" s="45"/>
      <c r="FHF51" s="45"/>
      <c r="FHG51" s="45"/>
      <c r="FHH51" s="45"/>
      <c r="FHI51" s="45"/>
      <c r="FHJ51" s="45"/>
      <c r="FHK51" s="45"/>
      <c r="FHL51" s="45"/>
      <c r="FHM51" s="45"/>
      <c r="FHN51" s="45"/>
      <c r="FHO51" s="45"/>
      <c r="FHP51" s="45"/>
      <c r="FHQ51" s="45"/>
      <c r="FHR51" s="45"/>
      <c r="FHS51" s="45"/>
      <c r="FHT51" s="45"/>
      <c r="FHU51" s="45"/>
      <c r="FHV51" s="45"/>
      <c r="FHW51" s="45"/>
      <c r="FHX51" s="45"/>
      <c r="FHY51" s="45"/>
      <c r="FHZ51" s="45"/>
      <c r="FIA51" s="45"/>
      <c r="FIB51" s="45"/>
      <c r="FIC51" s="45"/>
      <c r="FID51" s="45"/>
      <c r="FIE51" s="45"/>
      <c r="FIF51" s="45"/>
      <c r="FIG51" s="45"/>
      <c r="FIH51" s="45"/>
      <c r="FII51" s="45"/>
      <c r="FIJ51" s="45"/>
      <c r="FIK51" s="45"/>
      <c r="FIL51" s="45"/>
      <c r="FIM51" s="45"/>
      <c r="FIN51" s="45"/>
      <c r="FIO51" s="45"/>
      <c r="FIP51" s="45"/>
      <c r="FIQ51" s="45"/>
      <c r="FIR51" s="45"/>
      <c r="FIS51" s="45"/>
      <c r="FIT51" s="45"/>
      <c r="FIU51" s="45"/>
      <c r="FIV51" s="45"/>
      <c r="FIW51" s="45"/>
      <c r="FIX51" s="45"/>
      <c r="FIY51" s="45"/>
      <c r="FIZ51" s="45"/>
      <c r="FJA51" s="45"/>
      <c r="FJB51" s="45"/>
      <c r="FJC51" s="45"/>
      <c r="FJD51" s="45"/>
      <c r="FJE51" s="45"/>
      <c r="FJF51" s="45"/>
      <c r="FJG51" s="45"/>
      <c r="FJH51" s="45"/>
      <c r="FJI51" s="45"/>
      <c r="FJJ51" s="45"/>
      <c r="FJK51" s="45"/>
      <c r="FJL51" s="45"/>
      <c r="FJM51" s="45"/>
      <c r="FJN51" s="45"/>
      <c r="FJO51" s="45"/>
      <c r="FJP51" s="45"/>
      <c r="FJQ51" s="45"/>
      <c r="FJR51" s="45"/>
      <c r="FJS51" s="45"/>
      <c r="FJT51" s="45"/>
      <c r="FJU51" s="45"/>
      <c r="FJV51" s="45"/>
      <c r="FJW51" s="45"/>
      <c r="FJX51" s="45"/>
      <c r="FJY51" s="45"/>
      <c r="FJZ51" s="45"/>
      <c r="FKA51" s="45"/>
      <c r="FKB51" s="45"/>
      <c r="FKC51" s="45"/>
      <c r="FKD51" s="45"/>
      <c r="FKE51" s="45"/>
      <c r="FKF51" s="45"/>
      <c r="FKG51" s="45"/>
      <c r="FKH51" s="45"/>
      <c r="FKI51" s="45"/>
      <c r="FKJ51" s="45"/>
      <c r="FKK51" s="45"/>
      <c r="FKL51" s="45"/>
      <c r="FKM51" s="45"/>
      <c r="FKN51" s="45"/>
      <c r="FKO51" s="45"/>
      <c r="FKP51" s="45"/>
      <c r="FKQ51" s="45"/>
      <c r="FKR51" s="45"/>
      <c r="FKS51" s="45"/>
      <c r="FKT51" s="45"/>
      <c r="FKU51" s="45"/>
      <c r="FKV51" s="45"/>
      <c r="FKW51" s="45"/>
      <c r="FKX51" s="45"/>
      <c r="FKY51" s="45"/>
      <c r="FKZ51" s="45"/>
      <c r="FLA51" s="45"/>
      <c r="FLB51" s="45"/>
      <c r="FLC51" s="45"/>
      <c r="FLD51" s="45"/>
      <c r="FLE51" s="45"/>
      <c r="FLF51" s="45"/>
      <c r="FLG51" s="45"/>
      <c r="FLH51" s="45"/>
      <c r="FLI51" s="45"/>
      <c r="FLJ51" s="45"/>
      <c r="FLK51" s="45"/>
      <c r="FLL51" s="45"/>
      <c r="FLM51" s="45"/>
      <c r="FLN51" s="45"/>
      <c r="FLO51" s="45"/>
      <c r="FLP51" s="45"/>
      <c r="FLQ51" s="45"/>
      <c r="FLR51" s="45"/>
      <c r="FLS51" s="45"/>
      <c r="FLT51" s="45"/>
      <c r="FLU51" s="45"/>
      <c r="FLV51" s="45"/>
      <c r="FLW51" s="45"/>
      <c r="FLX51" s="45"/>
      <c r="FLY51" s="45"/>
      <c r="FLZ51" s="45"/>
      <c r="FMA51" s="45"/>
      <c r="FMB51" s="45"/>
      <c r="FMC51" s="45"/>
      <c r="FMD51" s="45"/>
      <c r="FME51" s="45"/>
      <c r="FMF51" s="45"/>
      <c r="FMG51" s="45"/>
      <c r="FMH51" s="45"/>
      <c r="FMI51" s="45"/>
      <c r="FMJ51" s="45"/>
      <c r="FMK51" s="45"/>
      <c r="FML51" s="45"/>
      <c r="FMM51" s="45"/>
      <c r="FMN51" s="45"/>
      <c r="FMO51" s="45"/>
      <c r="FMP51" s="45"/>
      <c r="FMQ51" s="45"/>
      <c r="FMR51" s="45"/>
      <c r="FMS51" s="45"/>
      <c r="FMT51" s="45"/>
      <c r="FMU51" s="45"/>
      <c r="FMV51" s="45"/>
      <c r="FMW51" s="45"/>
      <c r="FMX51" s="45"/>
      <c r="FMY51" s="45"/>
      <c r="FMZ51" s="45"/>
      <c r="FNA51" s="45"/>
      <c r="FNB51" s="45"/>
      <c r="FNC51" s="45"/>
      <c r="FND51" s="45"/>
      <c r="FNE51" s="45"/>
      <c r="FNF51" s="45"/>
      <c r="FNG51" s="45"/>
      <c r="FNH51" s="45"/>
      <c r="FNI51" s="45"/>
      <c r="FNJ51" s="45"/>
      <c r="FNK51" s="45"/>
      <c r="FNL51" s="45"/>
      <c r="FNM51" s="45"/>
      <c r="FNN51" s="45"/>
      <c r="FNO51" s="45"/>
      <c r="FNP51" s="45"/>
      <c r="FNQ51" s="45"/>
      <c r="FNR51" s="45"/>
      <c r="FNS51" s="45"/>
      <c r="FNT51" s="45"/>
      <c r="FNU51" s="45"/>
      <c r="FNV51" s="45"/>
      <c r="FNW51" s="45"/>
      <c r="FNX51" s="45"/>
      <c r="FNY51" s="45"/>
      <c r="FNZ51" s="45"/>
      <c r="FOA51" s="45"/>
      <c r="FOB51" s="45"/>
      <c r="FOC51" s="45"/>
      <c r="FOD51" s="45"/>
      <c r="FOE51" s="45"/>
      <c r="FOF51" s="45"/>
      <c r="FOG51" s="45"/>
      <c r="FOH51" s="45"/>
      <c r="FOI51" s="45"/>
      <c r="FOJ51" s="45"/>
      <c r="FOK51" s="45"/>
      <c r="FOL51" s="45"/>
      <c r="FOM51" s="45"/>
      <c r="FON51" s="45"/>
      <c r="FOO51" s="45"/>
      <c r="FOP51" s="45"/>
      <c r="FOQ51" s="45"/>
      <c r="FOR51" s="45"/>
      <c r="FOS51" s="45"/>
      <c r="FOT51" s="45"/>
      <c r="FOU51" s="45"/>
      <c r="FOV51" s="45"/>
      <c r="FOW51" s="45"/>
      <c r="FOX51" s="45"/>
      <c r="FOY51" s="45"/>
      <c r="FOZ51" s="45"/>
      <c r="FPA51" s="45"/>
      <c r="FPB51" s="45"/>
      <c r="FPC51" s="45"/>
      <c r="FPD51" s="45"/>
      <c r="FPE51" s="45"/>
      <c r="FPF51" s="45"/>
      <c r="FPG51" s="45"/>
      <c r="FPH51" s="45"/>
      <c r="FPI51" s="45"/>
      <c r="FPJ51" s="45"/>
      <c r="FPK51" s="45"/>
      <c r="FPL51" s="45"/>
      <c r="FPM51" s="45"/>
      <c r="FPN51" s="45"/>
      <c r="FPO51" s="45"/>
      <c r="FPP51" s="45"/>
      <c r="FPQ51" s="45"/>
      <c r="FPR51" s="45"/>
      <c r="FPS51" s="45"/>
      <c r="FPT51" s="45"/>
      <c r="FPU51" s="45"/>
      <c r="FPV51" s="45"/>
      <c r="FPW51" s="45"/>
      <c r="FPX51" s="45"/>
      <c r="FPY51" s="45"/>
      <c r="FPZ51" s="45"/>
      <c r="FQA51" s="45"/>
      <c r="FQB51" s="45"/>
      <c r="FQC51" s="45"/>
      <c r="FQD51" s="45"/>
      <c r="FQE51" s="45"/>
      <c r="FQF51" s="45"/>
      <c r="FQG51" s="45"/>
      <c r="FQH51" s="45"/>
      <c r="FQI51" s="45"/>
      <c r="FQJ51" s="45"/>
      <c r="FQK51" s="45"/>
      <c r="FQL51" s="45"/>
      <c r="FQM51" s="45"/>
      <c r="FQN51" s="45"/>
      <c r="FQO51" s="45"/>
      <c r="FQP51" s="45"/>
      <c r="FQQ51" s="45"/>
      <c r="FQR51" s="45"/>
      <c r="FQS51" s="45"/>
      <c r="FQT51" s="45"/>
      <c r="FQU51" s="45"/>
      <c r="FQV51" s="45"/>
      <c r="FQW51" s="45"/>
      <c r="FQX51" s="45"/>
      <c r="FQY51" s="45"/>
      <c r="FQZ51" s="45"/>
      <c r="FRA51" s="45"/>
      <c r="FRB51" s="45"/>
      <c r="FRC51" s="45"/>
      <c r="FRD51" s="45"/>
      <c r="FRE51" s="45"/>
      <c r="FRF51" s="45"/>
      <c r="FRG51" s="45"/>
      <c r="FRH51" s="45"/>
      <c r="FRI51" s="45"/>
      <c r="FRJ51" s="45"/>
      <c r="FRK51" s="45"/>
      <c r="FRL51" s="45"/>
      <c r="FRM51" s="45"/>
      <c r="FRN51" s="45"/>
      <c r="FRO51" s="45"/>
      <c r="FRP51" s="45"/>
      <c r="FRQ51" s="45"/>
      <c r="FRR51" s="45"/>
      <c r="FRS51" s="45"/>
      <c r="FRT51" s="45"/>
      <c r="FRU51" s="45"/>
      <c r="FRV51" s="45"/>
      <c r="FRW51" s="45"/>
      <c r="FRX51" s="45"/>
      <c r="FRY51" s="45"/>
      <c r="FRZ51" s="45"/>
      <c r="FSA51" s="45"/>
      <c r="FSB51" s="45"/>
      <c r="FSC51" s="45"/>
      <c r="FSD51" s="45"/>
      <c r="FSE51" s="45"/>
      <c r="FSF51" s="45"/>
      <c r="FSG51" s="45"/>
      <c r="FSH51" s="45"/>
      <c r="FSI51" s="45"/>
      <c r="FSJ51" s="45"/>
      <c r="FSK51" s="45"/>
      <c r="FSL51" s="45"/>
      <c r="FSM51" s="45"/>
      <c r="FSN51" s="45"/>
      <c r="FSO51" s="45"/>
      <c r="FSP51" s="45"/>
      <c r="FSQ51" s="45"/>
      <c r="FSR51" s="45"/>
      <c r="FSS51" s="45"/>
      <c r="FST51" s="45"/>
      <c r="FSU51" s="45"/>
      <c r="FSV51" s="45"/>
      <c r="FSW51" s="45"/>
      <c r="FSX51" s="45"/>
      <c r="FSY51" s="45"/>
      <c r="FSZ51" s="45"/>
      <c r="FTA51" s="45"/>
      <c r="FTB51" s="45"/>
      <c r="FTC51" s="45"/>
      <c r="FTD51" s="45"/>
      <c r="FTE51" s="45"/>
      <c r="FTF51" s="45"/>
      <c r="FTG51" s="45"/>
      <c r="FTH51" s="45"/>
      <c r="FTI51" s="45"/>
      <c r="FTJ51" s="45"/>
      <c r="FTK51" s="45"/>
      <c r="FTL51" s="45"/>
      <c r="FTM51" s="45"/>
      <c r="FTN51" s="45"/>
      <c r="FTO51" s="45"/>
      <c r="FTP51" s="45"/>
      <c r="FTQ51" s="45"/>
      <c r="FTR51" s="45"/>
      <c r="FTS51" s="45"/>
      <c r="FTT51" s="45"/>
      <c r="FTU51" s="45"/>
      <c r="FTV51" s="45"/>
      <c r="FTW51" s="45"/>
      <c r="FTX51" s="45"/>
      <c r="FTY51" s="45"/>
      <c r="FTZ51" s="45"/>
      <c r="FUA51" s="45"/>
      <c r="FUB51" s="45"/>
      <c r="FUC51" s="45"/>
      <c r="FUD51" s="45"/>
      <c r="FUE51" s="45"/>
      <c r="FUF51" s="45"/>
      <c r="FUG51" s="45"/>
      <c r="FUH51" s="45"/>
      <c r="FUI51" s="45"/>
      <c r="FUJ51" s="45"/>
      <c r="FUK51" s="45"/>
      <c r="FUL51" s="45"/>
      <c r="FUM51" s="45"/>
      <c r="FUN51" s="45"/>
      <c r="FUO51" s="45"/>
      <c r="FUP51" s="45"/>
      <c r="FUQ51" s="45"/>
      <c r="FUR51" s="45"/>
      <c r="FUS51" s="45"/>
      <c r="FUT51" s="45"/>
      <c r="FUU51" s="45"/>
      <c r="FUV51" s="45"/>
      <c r="FUW51" s="45"/>
      <c r="FUX51" s="45"/>
      <c r="FUY51" s="45"/>
      <c r="FUZ51" s="45"/>
      <c r="FVA51" s="45"/>
      <c r="FVB51" s="45"/>
      <c r="FVC51" s="45"/>
      <c r="FVD51" s="45"/>
      <c r="FVE51" s="45"/>
      <c r="FVF51" s="45"/>
      <c r="FVG51" s="45"/>
      <c r="FVH51" s="45"/>
      <c r="FVI51" s="45"/>
      <c r="FVJ51" s="45"/>
      <c r="FVK51" s="45"/>
      <c r="FVL51" s="45"/>
      <c r="FVM51" s="45"/>
      <c r="FVN51" s="45"/>
      <c r="FVO51" s="45"/>
      <c r="FVP51" s="45"/>
      <c r="FVQ51" s="45"/>
      <c r="FVR51" s="45"/>
      <c r="FVS51" s="45"/>
      <c r="FVT51" s="45"/>
      <c r="FVU51" s="45"/>
      <c r="FVV51" s="45"/>
      <c r="FVW51" s="45"/>
      <c r="FVX51" s="45"/>
      <c r="FVY51" s="45"/>
      <c r="FVZ51" s="45"/>
      <c r="FWA51" s="45"/>
      <c r="FWB51" s="45"/>
      <c r="FWC51" s="45"/>
      <c r="FWD51" s="45"/>
      <c r="FWE51" s="45"/>
      <c r="FWF51" s="45"/>
      <c r="FWG51" s="45"/>
      <c r="FWH51" s="45"/>
      <c r="FWI51" s="45"/>
      <c r="FWJ51" s="45"/>
      <c r="FWK51" s="45"/>
      <c r="FWL51" s="45"/>
      <c r="FWM51" s="45"/>
      <c r="FWN51" s="45"/>
      <c r="FWO51" s="45"/>
      <c r="FWP51" s="45"/>
      <c r="FWQ51" s="45"/>
      <c r="FWR51" s="45"/>
      <c r="FWS51" s="45"/>
      <c r="FWT51" s="45"/>
      <c r="FWU51" s="45"/>
      <c r="FWV51" s="45"/>
      <c r="FWW51" s="45"/>
      <c r="FWX51" s="45"/>
      <c r="FWY51" s="45"/>
      <c r="FWZ51" s="45"/>
      <c r="FXA51" s="45"/>
      <c r="FXB51" s="45"/>
      <c r="FXC51" s="45"/>
      <c r="FXD51" s="45"/>
      <c r="FXE51" s="45"/>
      <c r="FXF51" s="45"/>
      <c r="FXG51" s="45"/>
      <c r="FXH51" s="45"/>
      <c r="FXI51" s="45"/>
      <c r="FXJ51" s="45"/>
      <c r="FXK51" s="45"/>
      <c r="FXL51" s="45"/>
      <c r="FXM51" s="45"/>
      <c r="FXN51" s="45"/>
      <c r="FXO51" s="45"/>
      <c r="FXP51" s="45"/>
      <c r="FXQ51" s="45"/>
      <c r="FXR51" s="45"/>
      <c r="FXS51" s="45"/>
      <c r="FXT51" s="45"/>
      <c r="FXU51" s="45"/>
      <c r="FXV51" s="45"/>
      <c r="FXW51" s="45"/>
      <c r="FXX51" s="45"/>
      <c r="FXY51" s="45"/>
      <c r="FXZ51" s="45"/>
      <c r="FYA51" s="45"/>
      <c r="FYB51" s="45"/>
      <c r="FYC51" s="45"/>
      <c r="FYD51" s="45"/>
      <c r="FYE51" s="45"/>
      <c r="FYF51" s="45"/>
      <c r="FYG51" s="45"/>
      <c r="FYH51" s="45"/>
      <c r="FYI51" s="45"/>
      <c r="FYJ51" s="45"/>
      <c r="FYK51" s="45"/>
      <c r="FYL51" s="45"/>
      <c r="FYM51" s="45"/>
      <c r="FYN51" s="45"/>
      <c r="FYO51" s="45"/>
      <c r="FYP51" s="45"/>
      <c r="FYQ51" s="45"/>
      <c r="FYR51" s="45"/>
      <c r="FYS51" s="45"/>
      <c r="FYT51" s="45"/>
      <c r="FYU51" s="45"/>
      <c r="FYV51" s="45"/>
      <c r="FYW51" s="45"/>
      <c r="FYX51" s="45"/>
      <c r="FYY51" s="45"/>
      <c r="FYZ51" s="45"/>
      <c r="FZA51" s="45"/>
      <c r="FZB51" s="45"/>
      <c r="FZC51" s="45"/>
      <c r="FZD51" s="45"/>
      <c r="FZE51" s="45"/>
      <c r="FZF51" s="45"/>
      <c r="FZG51" s="45"/>
      <c r="FZH51" s="45"/>
      <c r="FZI51" s="45"/>
      <c r="FZJ51" s="45"/>
      <c r="FZK51" s="45"/>
      <c r="FZL51" s="45"/>
      <c r="FZM51" s="45"/>
      <c r="FZN51" s="45"/>
      <c r="FZO51" s="45"/>
      <c r="FZP51" s="45"/>
      <c r="FZQ51" s="45"/>
      <c r="FZR51" s="45"/>
      <c r="FZS51" s="45"/>
      <c r="FZT51" s="45"/>
      <c r="FZU51" s="45"/>
      <c r="FZV51" s="45"/>
      <c r="FZW51" s="45"/>
      <c r="FZX51" s="45"/>
      <c r="FZY51" s="45"/>
      <c r="FZZ51" s="45"/>
      <c r="GAA51" s="45"/>
      <c r="GAB51" s="45"/>
      <c r="GAC51" s="45"/>
      <c r="GAD51" s="45"/>
      <c r="GAE51" s="45"/>
      <c r="GAF51" s="45"/>
      <c r="GAG51" s="45"/>
      <c r="GAH51" s="45"/>
      <c r="GAI51" s="45"/>
      <c r="GAJ51" s="45"/>
      <c r="GAK51" s="45"/>
      <c r="GAL51" s="45"/>
      <c r="GAM51" s="45"/>
      <c r="GAN51" s="45"/>
      <c r="GAO51" s="45"/>
      <c r="GAP51" s="45"/>
      <c r="GAQ51" s="45"/>
      <c r="GAR51" s="45"/>
      <c r="GAS51" s="45"/>
      <c r="GAT51" s="45"/>
      <c r="GAU51" s="45"/>
      <c r="GAV51" s="45"/>
      <c r="GAW51" s="45"/>
      <c r="GAX51" s="45"/>
      <c r="GAY51" s="45"/>
      <c r="GAZ51" s="45"/>
      <c r="GBA51" s="45"/>
      <c r="GBB51" s="45"/>
      <c r="GBC51" s="45"/>
      <c r="GBD51" s="45"/>
      <c r="GBE51" s="45"/>
      <c r="GBF51" s="45"/>
      <c r="GBG51" s="45"/>
      <c r="GBH51" s="45"/>
      <c r="GBI51" s="45"/>
      <c r="GBJ51" s="45"/>
      <c r="GBK51" s="45"/>
      <c r="GBL51" s="45"/>
      <c r="GBM51" s="45"/>
      <c r="GBN51" s="45"/>
      <c r="GBO51" s="45"/>
      <c r="GBP51" s="45"/>
      <c r="GBQ51" s="45"/>
      <c r="GBR51" s="45"/>
      <c r="GBS51" s="45"/>
      <c r="GBT51" s="45"/>
      <c r="GBU51" s="45"/>
      <c r="GBV51" s="45"/>
      <c r="GBW51" s="45"/>
      <c r="GBX51" s="45"/>
      <c r="GBY51" s="45"/>
      <c r="GBZ51" s="45"/>
      <c r="GCA51" s="45"/>
      <c r="GCB51" s="45"/>
      <c r="GCC51" s="45"/>
      <c r="GCD51" s="45"/>
      <c r="GCE51" s="45"/>
      <c r="GCF51" s="45"/>
      <c r="GCG51" s="45"/>
      <c r="GCH51" s="45"/>
      <c r="GCI51" s="45"/>
      <c r="GCJ51" s="45"/>
      <c r="GCK51" s="45"/>
      <c r="GCL51" s="45"/>
      <c r="GCM51" s="45"/>
      <c r="GCN51" s="45"/>
      <c r="GCO51" s="45"/>
      <c r="GCP51" s="45"/>
      <c r="GCQ51" s="45"/>
      <c r="GCR51" s="45"/>
      <c r="GCS51" s="45"/>
      <c r="GCT51" s="45"/>
      <c r="GCU51" s="45"/>
      <c r="GCV51" s="45"/>
      <c r="GCW51" s="45"/>
      <c r="GCX51" s="45"/>
      <c r="GCY51" s="45"/>
      <c r="GCZ51" s="45"/>
      <c r="GDA51" s="45"/>
      <c r="GDB51" s="45"/>
      <c r="GDC51" s="45"/>
      <c r="GDD51" s="45"/>
      <c r="GDE51" s="45"/>
      <c r="GDF51" s="45"/>
      <c r="GDG51" s="45"/>
      <c r="GDH51" s="45"/>
      <c r="GDI51" s="45"/>
      <c r="GDJ51" s="45"/>
      <c r="GDK51" s="45"/>
      <c r="GDL51" s="45"/>
      <c r="GDM51" s="45"/>
      <c r="GDN51" s="45"/>
      <c r="GDO51" s="45"/>
      <c r="GDP51" s="45"/>
      <c r="GDQ51" s="45"/>
      <c r="GDR51" s="45"/>
      <c r="GDS51" s="45"/>
      <c r="GDT51" s="45"/>
      <c r="GDU51" s="45"/>
      <c r="GDV51" s="45"/>
      <c r="GDW51" s="45"/>
      <c r="GDX51" s="45"/>
      <c r="GDY51" s="45"/>
      <c r="GDZ51" s="45"/>
      <c r="GEA51" s="45"/>
      <c r="GEB51" s="45"/>
      <c r="GEC51" s="45"/>
      <c r="GED51" s="45"/>
      <c r="GEE51" s="45"/>
      <c r="GEF51" s="45"/>
      <c r="GEG51" s="45"/>
      <c r="GEH51" s="45"/>
      <c r="GEI51" s="45"/>
      <c r="GEJ51" s="45"/>
      <c r="GEK51" s="45"/>
      <c r="GEL51" s="45"/>
      <c r="GEM51" s="45"/>
      <c r="GEN51" s="45"/>
      <c r="GEO51" s="45"/>
      <c r="GEP51" s="45"/>
      <c r="GEQ51" s="45"/>
      <c r="GER51" s="45"/>
      <c r="GES51" s="45"/>
      <c r="GET51" s="45"/>
      <c r="GEU51" s="45"/>
      <c r="GEV51" s="45"/>
      <c r="GEW51" s="45"/>
      <c r="GEX51" s="45"/>
      <c r="GEY51" s="45"/>
      <c r="GEZ51" s="45"/>
      <c r="GFA51" s="45"/>
      <c r="GFB51" s="45"/>
      <c r="GFC51" s="45"/>
      <c r="GFD51" s="45"/>
      <c r="GFE51" s="45"/>
      <c r="GFF51" s="45"/>
      <c r="GFG51" s="45"/>
      <c r="GFH51" s="45"/>
      <c r="GFI51" s="45"/>
      <c r="GFJ51" s="45"/>
      <c r="GFK51" s="45"/>
      <c r="GFL51" s="45"/>
      <c r="GFM51" s="45"/>
      <c r="GFN51" s="45"/>
      <c r="GFO51" s="45"/>
      <c r="GFP51" s="45"/>
      <c r="GFQ51" s="45"/>
      <c r="GFR51" s="45"/>
      <c r="GFS51" s="45"/>
      <c r="GFT51" s="45"/>
      <c r="GFU51" s="45"/>
      <c r="GFV51" s="45"/>
      <c r="GFW51" s="45"/>
      <c r="GFX51" s="45"/>
      <c r="GFY51" s="45"/>
      <c r="GFZ51" s="45"/>
      <c r="GGA51" s="45"/>
      <c r="GGB51" s="45"/>
      <c r="GGC51" s="45"/>
      <c r="GGD51" s="45"/>
      <c r="GGE51" s="45"/>
      <c r="GGF51" s="45"/>
      <c r="GGG51" s="45"/>
      <c r="GGH51" s="45"/>
      <c r="GGI51" s="45"/>
      <c r="GGJ51" s="45"/>
      <c r="GGK51" s="45"/>
      <c r="GGL51" s="45"/>
      <c r="GGM51" s="45"/>
      <c r="GGN51" s="45"/>
      <c r="GGO51" s="45"/>
      <c r="GGP51" s="45"/>
      <c r="GGQ51" s="45"/>
      <c r="GGR51" s="45"/>
      <c r="GGS51" s="45"/>
      <c r="GGT51" s="45"/>
      <c r="GGU51" s="45"/>
      <c r="GGV51" s="45"/>
      <c r="GGW51" s="45"/>
      <c r="GGX51" s="45"/>
      <c r="GGY51" s="45"/>
      <c r="GGZ51" s="45"/>
      <c r="GHA51" s="45"/>
      <c r="GHB51" s="45"/>
      <c r="GHC51" s="45"/>
      <c r="GHD51" s="45"/>
      <c r="GHE51" s="45"/>
      <c r="GHF51" s="45"/>
      <c r="GHG51" s="45"/>
      <c r="GHH51" s="45"/>
      <c r="GHI51" s="45"/>
      <c r="GHJ51" s="45"/>
      <c r="GHK51" s="45"/>
      <c r="GHL51" s="45"/>
      <c r="GHM51" s="45"/>
      <c r="GHN51" s="45"/>
      <c r="GHO51" s="45"/>
      <c r="GHP51" s="45"/>
      <c r="GHQ51" s="45"/>
      <c r="GHR51" s="45"/>
      <c r="GHS51" s="45"/>
      <c r="GHT51" s="45"/>
      <c r="GHU51" s="45"/>
      <c r="GHV51" s="45"/>
      <c r="GHW51" s="45"/>
      <c r="GHX51" s="45"/>
      <c r="GHY51" s="45"/>
      <c r="GHZ51" s="45"/>
      <c r="GIA51" s="45"/>
      <c r="GIB51" s="45"/>
      <c r="GIC51" s="45"/>
      <c r="GID51" s="45"/>
      <c r="GIE51" s="45"/>
      <c r="GIF51" s="45"/>
      <c r="GIG51" s="45"/>
      <c r="GIH51" s="45"/>
      <c r="GII51" s="45"/>
      <c r="GIJ51" s="45"/>
      <c r="GIK51" s="45"/>
      <c r="GIL51" s="45"/>
      <c r="GIM51" s="45"/>
      <c r="GIN51" s="45"/>
      <c r="GIO51" s="45"/>
      <c r="GIP51" s="45"/>
      <c r="GIQ51" s="45"/>
      <c r="GIR51" s="45"/>
      <c r="GIS51" s="45"/>
      <c r="GIT51" s="45"/>
      <c r="GIU51" s="45"/>
      <c r="GIV51" s="45"/>
      <c r="GIW51" s="45"/>
      <c r="GIX51" s="45"/>
      <c r="GIY51" s="45"/>
      <c r="GIZ51" s="45"/>
      <c r="GJA51" s="45"/>
      <c r="GJB51" s="45"/>
      <c r="GJC51" s="45"/>
      <c r="GJD51" s="45"/>
      <c r="GJE51" s="45"/>
      <c r="GJF51" s="45"/>
      <c r="GJG51" s="45"/>
      <c r="GJH51" s="45"/>
      <c r="GJI51" s="45"/>
      <c r="GJJ51" s="45"/>
      <c r="GJK51" s="45"/>
      <c r="GJL51" s="45"/>
      <c r="GJM51" s="45"/>
      <c r="GJN51" s="45"/>
      <c r="GJO51" s="45"/>
      <c r="GJP51" s="45"/>
      <c r="GJQ51" s="45"/>
      <c r="GJR51" s="45"/>
      <c r="GJS51" s="45"/>
      <c r="GJT51" s="45"/>
      <c r="GJU51" s="45"/>
      <c r="GJV51" s="45"/>
      <c r="GJW51" s="45"/>
      <c r="GJX51" s="45"/>
      <c r="GJY51" s="45"/>
      <c r="GJZ51" s="45"/>
      <c r="GKA51" s="45"/>
      <c r="GKB51" s="45"/>
      <c r="GKC51" s="45"/>
      <c r="GKD51" s="45"/>
      <c r="GKE51" s="45"/>
      <c r="GKF51" s="45"/>
      <c r="GKG51" s="45"/>
      <c r="GKH51" s="45"/>
      <c r="GKI51" s="45"/>
      <c r="GKJ51" s="45"/>
      <c r="GKK51" s="45"/>
      <c r="GKL51" s="45"/>
      <c r="GKM51" s="45"/>
      <c r="GKN51" s="45"/>
      <c r="GKO51" s="45"/>
      <c r="GKP51" s="45"/>
      <c r="GKQ51" s="45"/>
      <c r="GKR51" s="45"/>
      <c r="GKS51" s="45"/>
      <c r="GKT51" s="45"/>
      <c r="GKU51" s="45"/>
      <c r="GKV51" s="45"/>
      <c r="GKW51" s="45"/>
      <c r="GKX51" s="45"/>
      <c r="GKY51" s="45"/>
      <c r="GKZ51" s="45"/>
      <c r="GLA51" s="45"/>
      <c r="GLB51" s="45"/>
      <c r="GLC51" s="45"/>
      <c r="GLD51" s="45"/>
      <c r="GLE51" s="45"/>
      <c r="GLF51" s="45"/>
      <c r="GLG51" s="45"/>
      <c r="GLH51" s="45"/>
      <c r="GLI51" s="45"/>
      <c r="GLJ51" s="45"/>
      <c r="GLK51" s="45"/>
      <c r="GLL51" s="45"/>
      <c r="GLM51" s="45"/>
      <c r="GLN51" s="45"/>
      <c r="GLO51" s="45"/>
      <c r="GLP51" s="45"/>
      <c r="GLQ51" s="45"/>
      <c r="GLR51" s="45"/>
      <c r="GLS51" s="45"/>
      <c r="GLT51" s="45"/>
      <c r="GLU51" s="45"/>
      <c r="GLV51" s="45"/>
      <c r="GLW51" s="45"/>
      <c r="GLX51" s="45"/>
      <c r="GLY51" s="45"/>
      <c r="GLZ51" s="45"/>
      <c r="GMA51" s="45"/>
      <c r="GMB51" s="45"/>
      <c r="GMC51" s="45"/>
      <c r="GMD51" s="45"/>
      <c r="GME51" s="45"/>
      <c r="GMF51" s="45"/>
      <c r="GMG51" s="45"/>
      <c r="GMH51" s="45"/>
      <c r="GMI51" s="45"/>
      <c r="GMJ51" s="45"/>
      <c r="GMK51" s="45"/>
      <c r="GML51" s="45"/>
      <c r="GMM51" s="45"/>
      <c r="GMN51" s="45"/>
      <c r="GMO51" s="45"/>
      <c r="GMP51" s="45"/>
      <c r="GMQ51" s="45"/>
      <c r="GMR51" s="45"/>
      <c r="GMS51" s="45"/>
      <c r="GMT51" s="45"/>
      <c r="GMU51" s="45"/>
      <c r="GMV51" s="45"/>
      <c r="GMW51" s="45"/>
      <c r="GMX51" s="45"/>
      <c r="GMY51" s="45"/>
      <c r="GMZ51" s="45"/>
      <c r="GNA51" s="45"/>
      <c r="GNB51" s="45"/>
      <c r="GNC51" s="45"/>
      <c r="GND51" s="45"/>
      <c r="GNE51" s="45"/>
      <c r="GNF51" s="45"/>
      <c r="GNG51" s="45"/>
      <c r="GNH51" s="45"/>
      <c r="GNI51" s="45"/>
      <c r="GNJ51" s="45"/>
      <c r="GNK51" s="45"/>
      <c r="GNL51" s="45"/>
      <c r="GNM51" s="45"/>
      <c r="GNN51" s="45"/>
      <c r="GNO51" s="45"/>
      <c r="GNP51" s="45"/>
      <c r="GNQ51" s="45"/>
      <c r="GNR51" s="45"/>
      <c r="GNS51" s="45"/>
      <c r="GNT51" s="45"/>
      <c r="GNU51" s="45"/>
      <c r="GNV51" s="45"/>
      <c r="GNW51" s="45"/>
      <c r="GNX51" s="45"/>
      <c r="GNY51" s="45"/>
      <c r="GNZ51" s="45"/>
      <c r="GOA51" s="45"/>
      <c r="GOB51" s="45"/>
      <c r="GOC51" s="45"/>
      <c r="GOD51" s="45"/>
      <c r="GOE51" s="45"/>
      <c r="GOF51" s="45"/>
      <c r="GOG51" s="45"/>
      <c r="GOH51" s="45"/>
      <c r="GOI51" s="45"/>
      <c r="GOJ51" s="45"/>
      <c r="GOK51" s="45"/>
      <c r="GOL51" s="45"/>
      <c r="GOM51" s="45"/>
      <c r="GON51" s="45"/>
      <c r="GOO51" s="45"/>
      <c r="GOP51" s="45"/>
      <c r="GOQ51" s="45"/>
      <c r="GOR51" s="45"/>
      <c r="GOS51" s="45"/>
      <c r="GOT51" s="45"/>
      <c r="GOU51" s="45"/>
      <c r="GOV51" s="45"/>
      <c r="GOW51" s="45"/>
      <c r="GOX51" s="45"/>
      <c r="GOY51" s="45"/>
      <c r="GOZ51" s="45"/>
      <c r="GPA51" s="45"/>
      <c r="GPB51" s="45"/>
      <c r="GPC51" s="45"/>
      <c r="GPD51" s="45"/>
      <c r="GPE51" s="45"/>
      <c r="GPF51" s="45"/>
      <c r="GPG51" s="45"/>
      <c r="GPH51" s="45"/>
      <c r="GPI51" s="45"/>
      <c r="GPJ51" s="45"/>
      <c r="GPK51" s="45"/>
      <c r="GPL51" s="45"/>
      <c r="GPM51" s="45"/>
      <c r="GPN51" s="45"/>
      <c r="GPO51" s="45"/>
      <c r="GPP51" s="45"/>
      <c r="GPQ51" s="45"/>
      <c r="GPR51" s="45"/>
      <c r="GPS51" s="45"/>
      <c r="GPT51" s="45"/>
      <c r="GPU51" s="45"/>
      <c r="GPV51" s="45"/>
      <c r="GPW51" s="45"/>
      <c r="GPX51" s="45"/>
      <c r="GPY51" s="45"/>
      <c r="GPZ51" s="45"/>
      <c r="GQA51" s="45"/>
      <c r="GQB51" s="45"/>
      <c r="GQC51" s="45"/>
      <c r="GQD51" s="45"/>
      <c r="GQE51" s="45"/>
      <c r="GQF51" s="45"/>
      <c r="GQG51" s="45"/>
      <c r="GQH51" s="45"/>
      <c r="GQI51" s="45"/>
      <c r="GQJ51" s="45"/>
      <c r="GQK51" s="45"/>
      <c r="GQL51" s="45"/>
      <c r="GQM51" s="45"/>
      <c r="GQN51" s="45"/>
      <c r="GQO51" s="45"/>
      <c r="GQP51" s="45"/>
      <c r="GQQ51" s="45"/>
      <c r="GQR51" s="45"/>
      <c r="GQS51" s="45"/>
      <c r="GQT51" s="45"/>
      <c r="GQU51" s="45"/>
      <c r="GQV51" s="45"/>
      <c r="GQW51" s="45"/>
      <c r="GQX51" s="45"/>
      <c r="GQY51" s="45"/>
      <c r="GQZ51" s="45"/>
      <c r="GRA51" s="45"/>
      <c r="GRB51" s="45"/>
      <c r="GRC51" s="45"/>
      <c r="GRD51" s="45"/>
      <c r="GRE51" s="45"/>
      <c r="GRF51" s="45"/>
      <c r="GRG51" s="45"/>
      <c r="GRH51" s="45"/>
      <c r="GRI51" s="45"/>
      <c r="GRJ51" s="45"/>
      <c r="GRK51" s="45"/>
      <c r="GRL51" s="45"/>
      <c r="GRM51" s="45"/>
      <c r="GRN51" s="45"/>
      <c r="GRO51" s="45"/>
      <c r="GRP51" s="45"/>
      <c r="GRQ51" s="45"/>
      <c r="GRR51" s="45"/>
      <c r="GRS51" s="45"/>
      <c r="GRT51" s="45"/>
      <c r="GRU51" s="45"/>
      <c r="GRV51" s="45"/>
      <c r="GRW51" s="45"/>
      <c r="GRX51" s="45"/>
      <c r="GRY51" s="45"/>
      <c r="GRZ51" s="45"/>
      <c r="GSA51" s="45"/>
      <c r="GSB51" s="45"/>
      <c r="GSC51" s="45"/>
      <c r="GSD51" s="45"/>
      <c r="GSE51" s="45"/>
      <c r="GSF51" s="45"/>
      <c r="GSG51" s="45"/>
      <c r="GSH51" s="45"/>
      <c r="GSI51" s="45"/>
      <c r="GSJ51" s="45"/>
      <c r="GSK51" s="45"/>
      <c r="GSL51" s="45"/>
      <c r="GSM51" s="45"/>
      <c r="GSN51" s="45"/>
      <c r="GSO51" s="45"/>
      <c r="GSP51" s="45"/>
      <c r="GSQ51" s="45"/>
      <c r="GSR51" s="45"/>
      <c r="GSS51" s="45"/>
      <c r="GST51" s="45"/>
      <c r="GSU51" s="45"/>
      <c r="GSV51" s="45"/>
      <c r="GSW51" s="45"/>
      <c r="GSX51" s="45"/>
      <c r="GSY51" s="45"/>
      <c r="GSZ51" s="45"/>
      <c r="GTA51" s="45"/>
      <c r="GTB51" s="45"/>
      <c r="GTC51" s="45"/>
      <c r="GTD51" s="45"/>
      <c r="GTE51" s="45"/>
      <c r="GTF51" s="45"/>
      <c r="GTG51" s="45"/>
      <c r="GTH51" s="45"/>
      <c r="GTI51" s="45"/>
      <c r="GTJ51" s="45"/>
      <c r="GTK51" s="45"/>
      <c r="GTL51" s="45"/>
      <c r="GTM51" s="45"/>
      <c r="GTN51" s="45"/>
      <c r="GTO51" s="45"/>
      <c r="GTP51" s="45"/>
      <c r="GTQ51" s="45"/>
      <c r="GTR51" s="45"/>
      <c r="GTS51" s="45"/>
      <c r="GTT51" s="45"/>
      <c r="GTU51" s="45"/>
      <c r="GTV51" s="45"/>
      <c r="GTW51" s="45"/>
      <c r="GTX51" s="45"/>
      <c r="GTY51" s="45"/>
      <c r="GTZ51" s="45"/>
      <c r="GUA51" s="45"/>
      <c r="GUB51" s="45"/>
      <c r="GUC51" s="45"/>
      <c r="GUD51" s="45"/>
      <c r="GUE51" s="45"/>
      <c r="GUF51" s="45"/>
      <c r="GUG51" s="45"/>
      <c r="GUH51" s="45"/>
      <c r="GUI51" s="45"/>
      <c r="GUJ51" s="45"/>
      <c r="GUK51" s="45"/>
      <c r="GUL51" s="45"/>
      <c r="GUM51" s="45"/>
      <c r="GUN51" s="45"/>
      <c r="GUO51" s="45"/>
      <c r="GUP51" s="45"/>
      <c r="GUQ51" s="45"/>
      <c r="GUR51" s="45"/>
      <c r="GUS51" s="45"/>
      <c r="GUT51" s="45"/>
      <c r="GUU51" s="45"/>
      <c r="GUV51" s="45"/>
      <c r="GUW51" s="45"/>
      <c r="GUX51" s="45"/>
      <c r="GUY51" s="45"/>
      <c r="GUZ51" s="45"/>
      <c r="GVA51" s="45"/>
      <c r="GVB51" s="45"/>
      <c r="GVC51" s="45"/>
      <c r="GVD51" s="45"/>
      <c r="GVE51" s="45"/>
      <c r="GVF51" s="45"/>
      <c r="GVG51" s="45"/>
      <c r="GVH51" s="45"/>
      <c r="GVI51" s="45"/>
      <c r="GVJ51" s="45"/>
      <c r="GVK51" s="45"/>
      <c r="GVL51" s="45"/>
      <c r="GVM51" s="45"/>
      <c r="GVN51" s="45"/>
      <c r="GVO51" s="45"/>
      <c r="GVP51" s="45"/>
      <c r="GVQ51" s="45"/>
      <c r="GVR51" s="45"/>
      <c r="GVS51" s="45"/>
      <c r="GVT51" s="45"/>
      <c r="GVU51" s="45"/>
      <c r="GVV51" s="45"/>
      <c r="GVW51" s="45"/>
      <c r="GVX51" s="45"/>
      <c r="GVY51" s="45"/>
      <c r="GVZ51" s="45"/>
      <c r="GWA51" s="45"/>
      <c r="GWB51" s="45"/>
      <c r="GWC51" s="45"/>
      <c r="GWD51" s="45"/>
      <c r="GWE51" s="45"/>
      <c r="GWF51" s="45"/>
      <c r="GWG51" s="45"/>
      <c r="GWH51" s="45"/>
      <c r="GWI51" s="45"/>
      <c r="GWJ51" s="45"/>
      <c r="GWK51" s="45"/>
      <c r="GWL51" s="45"/>
      <c r="GWM51" s="45"/>
      <c r="GWN51" s="45"/>
      <c r="GWO51" s="45"/>
      <c r="GWP51" s="45"/>
      <c r="GWQ51" s="45"/>
      <c r="GWR51" s="45"/>
      <c r="GWS51" s="45"/>
      <c r="GWT51" s="45"/>
      <c r="GWU51" s="45"/>
      <c r="GWV51" s="45"/>
      <c r="GWW51" s="45"/>
      <c r="GWX51" s="45"/>
      <c r="GWY51" s="45"/>
      <c r="GWZ51" s="45"/>
      <c r="GXA51" s="45"/>
      <c r="GXB51" s="45"/>
      <c r="GXC51" s="45"/>
      <c r="GXD51" s="45"/>
      <c r="GXE51" s="45"/>
      <c r="GXF51" s="45"/>
      <c r="GXG51" s="45"/>
      <c r="GXH51" s="45"/>
      <c r="GXI51" s="45"/>
      <c r="GXJ51" s="45"/>
      <c r="GXK51" s="45"/>
      <c r="GXL51" s="45"/>
      <c r="GXM51" s="45"/>
      <c r="GXN51" s="45"/>
      <c r="GXO51" s="45"/>
      <c r="GXP51" s="45"/>
      <c r="GXQ51" s="45"/>
      <c r="GXR51" s="45"/>
      <c r="GXS51" s="45"/>
      <c r="GXT51" s="45"/>
      <c r="GXU51" s="45"/>
      <c r="GXV51" s="45"/>
      <c r="GXW51" s="45"/>
      <c r="GXX51" s="45"/>
      <c r="GXY51" s="45"/>
      <c r="GXZ51" s="45"/>
      <c r="GYA51" s="45"/>
      <c r="GYB51" s="45"/>
      <c r="GYC51" s="45"/>
      <c r="GYD51" s="45"/>
      <c r="GYE51" s="45"/>
      <c r="GYF51" s="45"/>
      <c r="GYG51" s="45"/>
      <c r="GYH51" s="45"/>
      <c r="GYI51" s="45"/>
      <c r="GYJ51" s="45"/>
      <c r="GYK51" s="45"/>
      <c r="GYL51" s="45"/>
      <c r="GYM51" s="45"/>
      <c r="GYN51" s="45"/>
      <c r="GYO51" s="45"/>
      <c r="GYP51" s="45"/>
      <c r="GYQ51" s="45"/>
      <c r="GYR51" s="45"/>
      <c r="GYS51" s="45"/>
      <c r="GYT51" s="45"/>
      <c r="GYU51" s="45"/>
      <c r="GYV51" s="45"/>
      <c r="GYW51" s="45"/>
      <c r="GYX51" s="45"/>
      <c r="GYY51" s="45"/>
      <c r="GYZ51" s="45"/>
      <c r="GZA51" s="45"/>
      <c r="GZB51" s="45"/>
      <c r="GZC51" s="45"/>
      <c r="GZD51" s="45"/>
      <c r="GZE51" s="45"/>
      <c r="GZF51" s="45"/>
      <c r="GZG51" s="45"/>
      <c r="GZH51" s="45"/>
      <c r="GZI51" s="45"/>
      <c r="GZJ51" s="45"/>
      <c r="GZK51" s="45"/>
      <c r="GZL51" s="45"/>
      <c r="GZM51" s="45"/>
      <c r="GZN51" s="45"/>
      <c r="GZO51" s="45"/>
      <c r="GZP51" s="45"/>
      <c r="GZQ51" s="45"/>
      <c r="GZR51" s="45"/>
      <c r="GZS51" s="45"/>
      <c r="GZT51" s="45"/>
      <c r="GZU51" s="45"/>
      <c r="GZV51" s="45"/>
      <c r="GZW51" s="45"/>
      <c r="GZX51" s="45"/>
      <c r="GZY51" s="45"/>
      <c r="GZZ51" s="45"/>
      <c r="HAA51" s="45"/>
      <c r="HAB51" s="45"/>
      <c r="HAC51" s="45"/>
      <c r="HAD51" s="45"/>
      <c r="HAE51" s="45"/>
      <c r="HAF51" s="45"/>
      <c r="HAG51" s="45"/>
      <c r="HAH51" s="45"/>
      <c r="HAI51" s="45"/>
      <c r="HAJ51" s="45"/>
      <c r="HAK51" s="45"/>
      <c r="HAL51" s="45"/>
      <c r="HAM51" s="45"/>
      <c r="HAN51" s="45"/>
      <c r="HAO51" s="45"/>
      <c r="HAP51" s="45"/>
      <c r="HAQ51" s="45"/>
      <c r="HAR51" s="45"/>
      <c r="HAS51" s="45"/>
      <c r="HAT51" s="45"/>
      <c r="HAU51" s="45"/>
      <c r="HAV51" s="45"/>
      <c r="HAW51" s="45"/>
      <c r="HAX51" s="45"/>
      <c r="HAY51" s="45"/>
      <c r="HAZ51" s="45"/>
      <c r="HBA51" s="45"/>
      <c r="HBB51" s="45"/>
      <c r="HBC51" s="45"/>
      <c r="HBD51" s="45"/>
      <c r="HBE51" s="45"/>
      <c r="HBF51" s="45"/>
      <c r="HBG51" s="45"/>
      <c r="HBH51" s="45"/>
      <c r="HBI51" s="45"/>
      <c r="HBJ51" s="45"/>
      <c r="HBK51" s="45"/>
      <c r="HBL51" s="45"/>
      <c r="HBM51" s="45"/>
      <c r="HBN51" s="45"/>
      <c r="HBO51" s="45"/>
      <c r="HBP51" s="45"/>
      <c r="HBQ51" s="45"/>
      <c r="HBR51" s="45"/>
      <c r="HBS51" s="45"/>
      <c r="HBT51" s="45"/>
      <c r="HBU51" s="45"/>
      <c r="HBV51" s="45"/>
      <c r="HBW51" s="45"/>
      <c r="HBX51" s="45"/>
      <c r="HBY51" s="45"/>
      <c r="HBZ51" s="45"/>
      <c r="HCA51" s="45"/>
      <c r="HCB51" s="45"/>
      <c r="HCC51" s="45"/>
      <c r="HCD51" s="45"/>
      <c r="HCE51" s="45"/>
      <c r="HCF51" s="45"/>
      <c r="HCG51" s="45"/>
      <c r="HCH51" s="45"/>
      <c r="HCI51" s="45"/>
      <c r="HCJ51" s="45"/>
      <c r="HCK51" s="45"/>
      <c r="HCL51" s="45"/>
      <c r="HCM51" s="45"/>
      <c r="HCN51" s="45"/>
      <c r="HCO51" s="45"/>
      <c r="HCP51" s="45"/>
      <c r="HCQ51" s="45"/>
      <c r="HCR51" s="45"/>
      <c r="HCS51" s="45"/>
      <c r="HCT51" s="45"/>
      <c r="HCU51" s="45"/>
      <c r="HCV51" s="45"/>
      <c r="HCW51" s="45"/>
      <c r="HCX51" s="45"/>
      <c r="HCY51" s="45"/>
      <c r="HCZ51" s="45"/>
      <c r="HDA51" s="45"/>
      <c r="HDB51" s="45"/>
      <c r="HDC51" s="45"/>
      <c r="HDD51" s="45"/>
      <c r="HDE51" s="45"/>
      <c r="HDF51" s="45"/>
      <c r="HDG51" s="45"/>
      <c r="HDH51" s="45"/>
      <c r="HDI51" s="45"/>
      <c r="HDJ51" s="45"/>
      <c r="HDK51" s="45"/>
      <c r="HDL51" s="45"/>
      <c r="HDM51" s="45"/>
      <c r="HDN51" s="45"/>
      <c r="HDO51" s="45"/>
      <c r="HDP51" s="45"/>
      <c r="HDQ51" s="45"/>
      <c r="HDR51" s="45"/>
      <c r="HDS51" s="45"/>
      <c r="HDT51" s="45"/>
      <c r="HDU51" s="45"/>
      <c r="HDV51" s="45"/>
      <c r="HDW51" s="45"/>
      <c r="HDX51" s="45"/>
      <c r="HDY51" s="45"/>
      <c r="HDZ51" s="45"/>
      <c r="HEA51" s="45"/>
      <c r="HEB51" s="45"/>
      <c r="HEC51" s="45"/>
      <c r="HED51" s="45"/>
      <c r="HEE51" s="45"/>
      <c r="HEF51" s="45"/>
      <c r="HEG51" s="45"/>
      <c r="HEH51" s="45"/>
      <c r="HEI51" s="45"/>
      <c r="HEJ51" s="45"/>
      <c r="HEK51" s="45"/>
      <c r="HEL51" s="45"/>
      <c r="HEM51" s="45"/>
      <c r="HEN51" s="45"/>
      <c r="HEO51" s="45"/>
      <c r="HEP51" s="45"/>
      <c r="HEQ51" s="45"/>
      <c r="HER51" s="45"/>
      <c r="HES51" s="45"/>
      <c r="HET51" s="45"/>
      <c r="HEU51" s="45"/>
      <c r="HEV51" s="45"/>
      <c r="HEW51" s="45"/>
      <c r="HEX51" s="45"/>
      <c r="HEY51" s="45"/>
      <c r="HEZ51" s="45"/>
      <c r="HFA51" s="45"/>
      <c r="HFB51" s="45"/>
      <c r="HFC51" s="45"/>
      <c r="HFD51" s="45"/>
      <c r="HFE51" s="45"/>
      <c r="HFF51" s="45"/>
      <c r="HFG51" s="45"/>
      <c r="HFH51" s="45"/>
      <c r="HFI51" s="45"/>
      <c r="HFJ51" s="45"/>
      <c r="HFK51" s="45"/>
      <c r="HFL51" s="45"/>
      <c r="HFM51" s="45"/>
      <c r="HFN51" s="45"/>
      <c r="HFO51" s="45"/>
      <c r="HFP51" s="45"/>
      <c r="HFQ51" s="45"/>
      <c r="HFR51" s="45"/>
      <c r="HFS51" s="45"/>
      <c r="HFT51" s="45"/>
      <c r="HFU51" s="45"/>
      <c r="HFV51" s="45"/>
      <c r="HFW51" s="45"/>
      <c r="HFX51" s="45"/>
      <c r="HFY51" s="45"/>
      <c r="HFZ51" s="45"/>
      <c r="HGA51" s="45"/>
      <c r="HGB51" s="45"/>
      <c r="HGC51" s="45"/>
      <c r="HGD51" s="45"/>
      <c r="HGE51" s="45"/>
      <c r="HGF51" s="45"/>
      <c r="HGG51" s="45"/>
      <c r="HGH51" s="45"/>
      <c r="HGI51" s="45"/>
      <c r="HGJ51" s="45"/>
      <c r="HGK51" s="45"/>
      <c r="HGL51" s="45"/>
      <c r="HGM51" s="45"/>
      <c r="HGN51" s="45"/>
      <c r="HGO51" s="45"/>
      <c r="HGP51" s="45"/>
      <c r="HGQ51" s="45"/>
      <c r="HGR51" s="45"/>
      <c r="HGS51" s="45"/>
      <c r="HGT51" s="45"/>
      <c r="HGU51" s="45"/>
      <c r="HGV51" s="45"/>
      <c r="HGW51" s="45"/>
      <c r="HGX51" s="45"/>
      <c r="HGY51" s="45"/>
      <c r="HGZ51" s="45"/>
      <c r="HHA51" s="45"/>
      <c r="HHB51" s="45"/>
      <c r="HHC51" s="45"/>
      <c r="HHD51" s="45"/>
      <c r="HHE51" s="45"/>
      <c r="HHF51" s="45"/>
      <c r="HHG51" s="45"/>
      <c r="HHH51" s="45"/>
      <c r="HHI51" s="45"/>
      <c r="HHJ51" s="45"/>
      <c r="HHK51" s="45"/>
      <c r="HHL51" s="45"/>
      <c r="HHM51" s="45"/>
      <c r="HHN51" s="45"/>
      <c r="HHO51" s="45"/>
      <c r="HHP51" s="45"/>
      <c r="HHQ51" s="45"/>
      <c r="HHR51" s="45"/>
      <c r="HHS51" s="45"/>
      <c r="HHT51" s="45"/>
      <c r="HHU51" s="45"/>
      <c r="HHV51" s="45"/>
      <c r="HHW51" s="45"/>
      <c r="HHX51" s="45"/>
      <c r="HHY51" s="45"/>
      <c r="HHZ51" s="45"/>
      <c r="HIA51" s="45"/>
      <c r="HIB51" s="45"/>
      <c r="HIC51" s="45"/>
      <c r="HID51" s="45"/>
      <c r="HIE51" s="45"/>
      <c r="HIF51" s="45"/>
      <c r="HIG51" s="45"/>
      <c r="HIH51" s="45"/>
      <c r="HII51" s="45"/>
      <c r="HIJ51" s="45"/>
      <c r="HIK51" s="45"/>
      <c r="HIL51" s="45"/>
      <c r="HIM51" s="45"/>
      <c r="HIN51" s="45"/>
      <c r="HIO51" s="45"/>
      <c r="HIP51" s="45"/>
      <c r="HIQ51" s="45"/>
      <c r="HIR51" s="45"/>
      <c r="HIS51" s="45"/>
      <c r="HIT51" s="45"/>
      <c r="HIU51" s="45"/>
      <c r="HIV51" s="45"/>
      <c r="HIW51" s="45"/>
      <c r="HIX51" s="45"/>
      <c r="HIY51" s="45"/>
      <c r="HIZ51" s="45"/>
      <c r="HJA51" s="45"/>
      <c r="HJB51" s="45"/>
      <c r="HJC51" s="45"/>
      <c r="HJD51" s="45"/>
      <c r="HJE51" s="45"/>
      <c r="HJF51" s="45"/>
      <c r="HJG51" s="45"/>
      <c r="HJH51" s="45"/>
      <c r="HJI51" s="45"/>
      <c r="HJJ51" s="45"/>
      <c r="HJK51" s="45"/>
      <c r="HJL51" s="45"/>
      <c r="HJM51" s="45"/>
      <c r="HJN51" s="45"/>
      <c r="HJO51" s="45"/>
      <c r="HJP51" s="45"/>
      <c r="HJQ51" s="45"/>
      <c r="HJR51" s="45"/>
      <c r="HJS51" s="45"/>
      <c r="HJT51" s="45"/>
      <c r="HJU51" s="45"/>
      <c r="HJV51" s="45"/>
      <c r="HJW51" s="45"/>
      <c r="HJX51" s="45"/>
      <c r="HJY51" s="45"/>
      <c r="HJZ51" s="45"/>
      <c r="HKA51" s="45"/>
      <c r="HKB51" s="45"/>
      <c r="HKC51" s="45"/>
      <c r="HKD51" s="45"/>
      <c r="HKE51" s="45"/>
      <c r="HKF51" s="45"/>
      <c r="HKG51" s="45"/>
      <c r="HKH51" s="45"/>
      <c r="HKI51" s="45"/>
      <c r="HKJ51" s="45"/>
      <c r="HKK51" s="45"/>
      <c r="HKL51" s="45"/>
      <c r="HKM51" s="45"/>
      <c r="HKN51" s="45"/>
      <c r="HKO51" s="45"/>
      <c r="HKP51" s="45"/>
      <c r="HKQ51" s="45"/>
      <c r="HKR51" s="45"/>
      <c r="HKS51" s="45"/>
      <c r="HKT51" s="45"/>
      <c r="HKU51" s="45"/>
      <c r="HKV51" s="45"/>
      <c r="HKW51" s="45"/>
      <c r="HKX51" s="45"/>
      <c r="HKY51" s="45"/>
      <c r="HKZ51" s="45"/>
      <c r="HLA51" s="45"/>
      <c r="HLB51" s="45"/>
      <c r="HLC51" s="45"/>
      <c r="HLD51" s="45"/>
      <c r="HLE51" s="45"/>
      <c r="HLF51" s="45"/>
      <c r="HLG51" s="45"/>
      <c r="HLH51" s="45"/>
      <c r="HLI51" s="45"/>
      <c r="HLJ51" s="45"/>
      <c r="HLK51" s="45"/>
      <c r="HLL51" s="45"/>
      <c r="HLM51" s="45"/>
      <c r="HLN51" s="45"/>
      <c r="HLO51" s="45"/>
      <c r="HLP51" s="45"/>
      <c r="HLQ51" s="45"/>
      <c r="HLR51" s="45"/>
      <c r="HLS51" s="45"/>
      <c r="HLT51" s="45"/>
      <c r="HLU51" s="45"/>
      <c r="HLV51" s="45"/>
      <c r="HLW51" s="45"/>
      <c r="HLX51" s="45"/>
      <c r="HLY51" s="45"/>
      <c r="HLZ51" s="45"/>
      <c r="HMA51" s="45"/>
      <c r="HMB51" s="45"/>
      <c r="HMC51" s="45"/>
      <c r="HMD51" s="45"/>
      <c r="HME51" s="45"/>
      <c r="HMF51" s="45"/>
      <c r="HMG51" s="45"/>
      <c r="HMH51" s="45"/>
      <c r="HMI51" s="45"/>
      <c r="HMJ51" s="45"/>
      <c r="HMK51" s="45"/>
      <c r="HML51" s="45"/>
      <c r="HMM51" s="45"/>
      <c r="HMN51" s="45"/>
      <c r="HMO51" s="45"/>
      <c r="HMP51" s="45"/>
      <c r="HMQ51" s="45"/>
      <c r="HMR51" s="45"/>
      <c r="HMS51" s="45"/>
      <c r="HMT51" s="45"/>
      <c r="HMU51" s="45"/>
      <c r="HMV51" s="45"/>
      <c r="HMW51" s="45"/>
      <c r="HMX51" s="45"/>
      <c r="HMY51" s="45"/>
      <c r="HMZ51" s="45"/>
      <c r="HNA51" s="45"/>
      <c r="HNB51" s="45"/>
      <c r="HNC51" s="45"/>
      <c r="HND51" s="45"/>
      <c r="HNE51" s="45"/>
      <c r="HNF51" s="45"/>
      <c r="HNG51" s="45"/>
      <c r="HNH51" s="45"/>
      <c r="HNI51" s="45"/>
      <c r="HNJ51" s="45"/>
      <c r="HNK51" s="45"/>
      <c r="HNL51" s="45"/>
      <c r="HNM51" s="45"/>
      <c r="HNN51" s="45"/>
      <c r="HNO51" s="45"/>
      <c r="HNP51" s="45"/>
      <c r="HNQ51" s="45"/>
      <c r="HNR51" s="45"/>
      <c r="HNS51" s="45"/>
      <c r="HNT51" s="45"/>
      <c r="HNU51" s="45"/>
      <c r="HNV51" s="45"/>
      <c r="HNW51" s="45"/>
      <c r="HNX51" s="45"/>
      <c r="HNY51" s="45"/>
      <c r="HNZ51" s="45"/>
      <c r="HOA51" s="45"/>
      <c r="HOB51" s="45"/>
      <c r="HOC51" s="45"/>
      <c r="HOD51" s="45"/>
      <c r="HOE51" s="45"/>
      <c r="HOF51" s="45"/>
      <c r="HOG51" s="45"/>
      <c r="HOH51" s="45"/>
      <c r="HOI51" s="45"/>
      <c r="HOJ51" s="45"/>
      <c r="HOK51" s="45"/>
      <c r="HOL51" s="45"/>
      <c r="HOM51" s="45"/>
      <c r="HON51" s="45"/>
      <c r="HOO51" s="45"/>
      <c r="HOP51" s="45"/>
      <c r="HOQ51" s="45"/>
      <c r="HOR51" s="45"/>
      <c r="HOS51" s="45"/>
      <c r="HOT51" s="45"/>
      <c r="HOU51" s="45"/>
      <c r="HOV51" s="45"/>
      <c r="HOW51" s="45"/>
      <c r="HOX51" s="45"/>
      <c r="HOY51" s="45"/>
      <c r="HOZ51" s="45"/>
      <c r="HPA51" s="45"/>
      <c r="HPB51" s="45"/>
      <c r="HPC51" s="45"/>
      <c r="HPD51" s="45"/>
      <c r="HPE51" s="45"/>
      <c r="HPF51" s="45"/>
      <c r="HPG51" s="45"/>
      <c r="HPH51" s="45"/>
      <c r="HPI51" s="45"/>
      <c r="HPJ51" s="45"/>
      <c r="HPK51" s="45"/>
      <c r="HPL51" s="45"/>
      <c r="HPM51" s="45"/>
      <c r="HPN51" s="45"/>
      <c r="HPO51" s="45"/>
      <c r="HPP51" s="45"/>
      <c r="HPQ51" s="45"/>
      <c r="HPR51" s="45"/>
      <c r="HPS51" s="45"/>
      <c r="HPT51" s="45"/>
      <c r="HPU51" s="45"/>
      <c r="HPV51" s="45"/>
      <c r="HPW51" s="45"/>
      <c r="HPX51" s="45"/>
      <c r="HPY51" s="45"/>
      <c r="HPZ51" s="45"/>
      <c r="HQA51" s="45"/>
      <c r="HQB51" s="45"/>
      <c r="HQC51" s="45"/>
      <c r="HQD51" s="45"/>
      <c r="HQE51" s="45"/>
      <c r="HQF51" s="45"/>
      <c r="HQG51" s="45"/>
      <c r="HQH51" s="45"/>
      <c r="HQI51" s="45"/>
      <c r="HQJ51" s="45"/>
      <c r="HQK51" s="45"/>
      <c r="HQL51" s="45"/>
      <c r="HQM51" s="45"/>
      <c r="HQN51" s="45"/>
      <c r="HQO51" s="45"/>
      <c r="HQP51" s="45"/>
      <c r="HQQ51" s="45"/>
      <c r="HQR51" s="45"/>
      <c r="HQS51" s="45"/>
      <c r="HQT51" s="45"/>
      <c r="HQU51" s="45"/>
      <c r="HQV51" s="45"/>
      <c r="HQW51" s="45"/>
      <c r="HQX51" s="45"/>
      <c r="HQY51" s="45"/>
      <c r="HQZ51" s="45"/>
      <c r="HRA51" s="45"/>
      <c r="HRB51" s="45"/>
      <c r="HRC51" s="45"/>
      <c r="HRD51" s="45"/>
      <c r="HRE51" s="45"/>
      <c r="HRF51" s="45"/>
      <c r="HRG51" s="45"/>
      <c r="HRH51" s="45"/>
      <c r="HRI51" s="45"/>
      <c r="HRJ51" s="45"/>
      <c r="HRK51" s="45"/>
      <c r="HRL51" s="45"/>
      <c r="HRM51" s="45"/>
      <c r="HRN51" s="45"/>
      <c r="HRO51" s="45"/>
      <c r="HRP51" s="45"/>
      <c r="HRQ51" s="45"/>
      <c r="HRR51" s="45"/>
      <c r="HRS51" s="45"/>
      <c r="HRT51" s="45"/>
      <c r="HRU51" s="45"/>
      <c r="HRV51" s="45"/>
      <c r="HRW51" s="45"/>
      <c r="HRX51" s="45"/>
      <c r="HRY51" s="45"/>
      <c r="HRZ51" s="45"/>
      <c r="HSA51" s="45"/>
      <c r="HSB51" s="45"/>
      <c r="HSC51" s="45"/>
      <c r="HSD51" s="45"/>
      <c r="HSE51" s="45"/>
      <c r="HSF51" s="45"/>
      <c r="HSG51" s="45"/>
      <c r="HSH51" s="45"/>
      <c r="HSI51" s="45"/>
      <c r="HSJ51" s="45"/>
      <c r="HSK51" s="45"/>
      <c r="HSL51" s="45"/>
      <c r="HSM51" s="45"/>
      <c r="HSN51" s="45"/>
      <c r="HSO51" s="45"/>
      <c r="HSP51" s="45"/>
      <c r="HSQ51" s="45"/>
      <c r="HSR51" s="45"/>
      <c r="HSS51" s="45"/>
      <c r="HST51" s="45"/>
      <c r="HSU51" s="45"/>
      <c r="HSV51" s="45"/>
      <c r="HSW51" s="45"/>
      <c r="HSX51" s="45"/>
      <c r="HSY51" s="45"/>
      <c r="HSZ51" s="45"/>
      <c r="HTA51" s="45"/>
      <c r="HTB51" s="45"/>
      <c r="HTC51" s="45"/>
      <c r="HTD51" s="45"/>
      <c r="HTE51" s="45"/>
      <c r="HTF51" s="45"/>
      <c r="HTG51" s="45"/>
      <c r="HTH51" s="45"/>
      <c r="HTI51" s="45"/>
      <c r="HTJ51" s="45"/>
      <c r="HTK51" s="45"/>
      <c r="HTL51" s="45"/>
      <c r="HTM51" s="45"/>
      <c r="HTN51" s="45"/>
      <c r="HTO51" s="45"/>
      <c r="HTP51" s="45"/>
      <c r="HTQ51" s="45"/>
      <c r="HTR51" s="45"/>
      <c r="HTS51" s="45"/>
      <c r="HTT51" s="45"/>
      <c r="HTU51" s="45"/>
      <c r="HTV51" s="45"/>
      <c r="HTW51" s="45"/>
      <c r="HTX51" s="45"/>
      <c r="HTY51" s="45"/>
      <c r="HTZ51" s="45"/>
      <c r="HUA51" s="45"/>
      <c r="HUB51" s="45"/>
      <c r="HUC51" s="45"/>
      <c r="HUD51" s="45"/>
      <c r="HUE51" s="45"/>
      <c r="HUF51" s="45"/>
      <c r="HUG51" s="45"/>
      <c r="HUH51" s="45"/>
      <c r="HUI51" s="45"/>
      <c r="HUJ51" s="45"/>
      <c r="HUK51" s="45"/>
      <c r="HUL51" s="45"/>
      <c r="HUM51" s="45"/>
      <c r="HUN51" s="45"/>
      <c r="HUO51" s="45"/>
      <c r="HUP51" s="45"/>
      <c r="HUQ51" s="45"/>
      <c r="HUR51" s="45"/>
      <c r="HUS51" s="45"/>
      <c r="HUT51" s="45"/>
      <c r="HUU51" s="45"/>
      <c r="HUV51" s="45"/>
      <c r="HUW51" s="45"/>
      <c r="HUX51" s="45"/>
      <c r="HUY51" s="45"/>
      <c r="HUZ51" s="45"/>
      <c r="HVA51" s="45"/>
      <c r="HVB51" s="45"/>
      <c r="HVC51" s="45"/>
      <c r="HVD51" s="45"/>
      <c r="HVE51" s="45"/>
      <c r="HVF51" s="45"/>
      <c r="HVG51" s="45"/>
      <c r="HVH51" s="45"/>
      <c r="HVI51" s="45"/>
      <c r="HVJ51" s="45"/>
      <c r="HVK51" s="45"/>
      <c r="HVL51" s="45"/>
      <c r="HVM51" s="45"/>
      <c r="HVN51" s="45"/>
      <c r="HVO51" s="45"/>
      <c r="HVP51" s="45"/>
      <c r="HVQ51" s="45"/>
      <c r="HVR51" s="45"/>
      <c r="HVS51" s="45"/>
      <c r="HVT51" s="45"/>
      <c r="HVU51" s="45"/>
      <c r="HVV51" s="45"/>
      <c r="HVW51" s="45"/>
      <c r="HVX51" s="45"/>
      <c r="HVY51" s="45"/>
      <c r="HVZ51" s="45"/>
      <c r="HWA51" s="45"/>
      <c r="HWB51" s="45"/>
      <c r="HWC51" s="45"/>
      <c r="HWD51" s="45"/>
      <c r="HWE51" s="45"/>
      <c r="HWF51" s="45"/>
      <c r="HWG51" s="45"/>
      <c r="HWH51" s="45"/>
      <c r="HWI51" s="45"/>
      <c r="HWJ51" s="45"/>
      <c r="HWK51" s="45"/>
      <c r="HWL51" s="45"/>
      <c r="HWM51" s="45"/>
      <c r="HWN51" s="45"/>
      <c r="HWO51" s="45"/>
      <c r="HWP51" s="45"/>
      <c r="HWQ51" s="45"/>
      <c r="HWR51" s="45"/>
      <c r="HWS51" s="45"/>
      <c r="HWT51" s="45"/>
      <c r="HWU51" s="45"/>
      <c r="HWV51" s="45"/>
      <c r="HWW51" s="45"/>
      <c r="HWX51" s="45"/>
      <c r="HWY51" s="45"/>
      <c r="HWZ51" s="45"/>
      <c r="HXA51" s="45"/>
      <c r="HXB51" s="45"/>
      <c r="HXC51" s="45"/>
      <c r="HXD51" s="45"/>
      <c r="HXE51" s="45"/>
      <c r="HXF51" s="45"/>
      <c r="HXG51" s="45"/>
      <c r="HXH51" s="45"/>
      <c r="HXI51" s="45"/>
      <c r="HXJ51" s="45"/>
      <c r="HXK51" s="45"/>
      <c r="HXL51" s="45"/>
      <c r="HXM51" s="45"/>
      <c r="HXN51" s="45"/>
      <c r="HXO51" s="45"/>
      <c r="HXP51" s="45"/>
      <c r="HXQ51" s="45"/>
      <c r="HXR51" s="45"/>
      <c r="HXS51" s="45"/>
      <c r="HXT51" s="45"/>
      <c r="HXU51" s="45"/>
      <c r="HXV51" s="45"/>
      <c r="HXW51" s="45"/>
      <c r="HXX51" s="45"/>
      <c r="HXY51" s="45"/>
      <c r="HXZ51" s="45"/>
      <c r="HYA51" s="45"/>
      <c r="HYB51" s="45"/>
      <c r="HYC51" s="45"/>
      <c r="HYD51" s="45"/>
      <c r="HYE51" s="45"/>
      <c r="HYF51" s="45"/>
      <c r="HYG51" s="45"/>
      <c r="HYH51" s="45"/>
      <c r="HYI51" s="45"/>
      <c r="HYJ51" s="45"/>
      <c r="HYK51" s="45"/>
      <c r="HYL51" s="45"/>
      <c r="HYM51" s="45"/>
      <c r="HYN51" s="45"/>
      <c r="HYO51" s="45"/>
      <c r="HYP51" s="45"/>
      <c r="HYQ51" s="45"/>
      <c r="HYR51" s="45"/>
      <c r="HYS51" s="45"/>
      <c r="HYT51" s="45"/>
      <c r="HYU51" s="45"/>
      <c r="HYV51" s="45"/>
      <c r="HYW51" s="45"/>
      <c r="HYX51" s="45"/>
      <c r="HYY51" s="45"/>
      <c r="HYZ51" s="45"/>
      <c r="HZA51" s="45"/>
      <c r="HZB51" s="45"/>
      <c r="HZC51" s="45"/>
      <c r="HZD51" s="45"/>
      <c r="HZE51" s="45"/>
      <c r="HZF51" s="45"/>
      <c r="HZG51" s="45"/>
      <c r="HZH51" s="45"/>
      <c r="HZI51" s="45"/>
      <c r="HZJ51" s="45"/>
      <c r="HZK51" s="45"/>
      <c r="HZL51" s="45"/>
      <c r="HZM51" s="45"/>
      <c r="HZN51" s="45"/>
      <c r="HZO51" s="45"/>
      <c r="HZP51" s="45"/>
      <c r="HZQ51" s="45"/>
      <c r="HZR51" s="45"/>
      <c r="HZS51" s="45"/>
      <c r="HZT51" s="45"/>
      <c r="HZU51" s="45"/>
      <c r="HZV51" s="45"/>
      <c r="HZW51" s="45"/>
      <c r="HZX51" s="45"/>
      <c r="HZY51" s="45"/>
      <c r="HZZ51" s="45"/>
      <c r="IAA51" s="45"/>
      <c r="IAB51" s="45"/>
      <c r="IAC51" s="45"/>
      <c r="IAD51" s="45"/>
      <c r="IAE51" s="45"/>
      <c r="IAF51" s="45"/>
      <c r="IAG51" s="45"/>
      <c r="IAH51" s="45"/>
      <c r="IAI51" s="45"/>
      <c r="IAJ51" s="45"/>
      <c r="IAK51" s="45"/>
      <c r="IAL51" s="45"/>
      <c r="IAM51" s="45"/>
      <c r="IAN51" s="45"/>
      <c r="IAO51" s="45"/>
      <c r="IAP51" s="45"/>
      <c r="IAQ51" s="45"/>
      <c r="IAR51" s="45"/>
      <c r="IAS51" s="45"/>
      <c r="IAT51" s="45"/>
      <c r="IAU51" s="45"/>
      <c r="IAV51" s="45"/>
      <c r="IAW51" s="45"/>
      <c r="IAX51" s="45"/>
      <c r="IAY51" s="45"/>
      <c r="IAZ51" s="45"/>
      <c r="IBA51" s="45"/>
      <c r="IBB51" s="45"/>
      <c r="IBC51" s="45"/>
      <c r="IBD51" s="45"/>
      <c r="IBE51" s="45"/>
      <c r="IBF51" s="45"/>
      <c r="IBG51" s="45"/>
      <c r="IBH51" s="45"/>
      <c r="IBI51" s="45"/>
      <c r="IBJ51" s="45"/>
      <c r="IBK51" s="45"/>
      <c r="IBL51" s="45"/>
      <c r="IBM51" s="45"/>
      <c r="IBN51" s="45"/>
      <c r="IBO51" s="45"/>
      <c r="IBP51" s="45"/>
      <c r="IBQ51" s="45"/>
      <c r="IBR51" s="45"/>
      <c r="IBS51" s="45"/>
      <c r="IBT51" s="45"/>
      <c r="IBU51" s="45"/>
      <c r="IBV51" s="45"/>
      <c r="IBW51" s="45"/>
      <c r="IBX51" s="45"/>
      <c r="IBY51" s="45"/>
      <c r="IBZ51" s="45"/>
      <c r="ICA51" s="45"/>
      <c r="ICB51" s="45"/>
      <c r="ICC51" s="45"/>
      <c r="ICD51" s="45"/>
      <c r="ICE51" s="45"/>
      <c r="ICF51" s="45"/>
      <c r="ICG51" s="45"/>
      <c r="ICH51" s="45"/>
      <c r="ICI51" s="45"/>
      <c r="ICJ51" s="45"/>
      <c r="ICK51" s="45"/>
      <c r="ICL51" s="45"/>
      <c r="ICM51" s="45"/>
      <c r="ICN51" s="45"/>
      <c r="ICO51" s="45"/>
      <c r="ICP51" s="45"/>
      <c r="ICQ51" s="45"/>
      <c r="ICR51" s="45"/>
      <c r="ICS51" s="45"/>
      <c r="ICT51" s="45"/>
      <c r="ICU51" s="45"/>
      <c r="ICV51" s="45"/>
      <c r="ICW51" s="45"/>
      <c r="ICX51" s="45"/>
      <c r="ICY51" s="45"/>
      <c r="ICZ51" s="45"/>
      <c r="IDA51" s="45"/>
      <c r="IDB51" s="45"/>
      <c r="IDC51" s="45"/>
      <c r="IDD51" s="45"/>
      <c r="IDE51" s="45"/>
      <c r="IDF51" s="45"/>
      <c r="IDG51" s="45"/>
      <c r="IDH51" s="45"/>
      <c r="IDI51" s="45"/>
      <c r="IDJ51" s="45"/>
      <c r="IDK51" s="45"/>
      <c r="IDL51" s="45"/>
      <c r="IDM51" s="45"/>
      <c r="IDN51" s="45"/>
      <c r="IDO51" s="45"/>
      <c r="IDP51" s="45"/>
      <c r="IDQ51" s="45"/>
      <c r="IDR51" s="45"/>
      <c r="IDS51" s="45"/>
      <c r="IDT51" s="45"/>
      <c r="IDU51" s="45"/>
      <c r="IDV51" s="45"/>
      <c r="IDW51" s="45"/>
      <c r="IDX51" s="45"/>
      <c r="IDY51" s="45"/>
      <c r="IDZ51" s="45"/>
      <c r="IEA51" s="45"/>
      <c r="IEB51" s="45"/>
      <c r="IEC51" s="45"/>
      <c r="IED51" s="45"/>
      <c r="IEE51" s="45"/>
      <c r="IEF51" s="45"/>
      <c r="IEG51" s="45"/>
      <c r="IEH51" s="45"/>
      <c r="IEI51" s="45"/>
      <c r="IEJ51" s="45"/>
      <c r="IEK51" s="45"/>
      <c r="IEL51" s="45"/>
      <c r="IEM51" s="45"/>
      <c r="IEN51" s="45"/>
      <c r="IEO51" s="45"/>
      <c r="IEP51" s="45"/>
      <c r="IEQ51" s="45"/>
      <c r="IER51" s="45"/>
      <c r="IES51" s="45"/>
      <c r="IET51" s="45"/>
      <c r="IEU51" s="45"/>
      <c r="IEV51" s="45"/>
      <c r="IEW51" s="45"/>
      <c r="IEX51" s="45"/>
      <c r="IEY51" s="45"/>
      <c r="IEZ51" s="45"/>
      <c r="IFA51" s="45"/>
      <c r="IFB51" s="45"/>
      <c r="IFC51" s="45"/>
      <c r="IFD51" s="45"/>
      <c r="IFE51" s="45"/>
      <c r="IFF51" s="45"/>
      <c r="IFG51" s="45"/>
      <c r="IFH51" s="45"/>
      <c r="IFI51" s="45"/>
      <c r="IFJ51" s="45"/>
      <c r="IFK51" s="45"/>
      <c r="IFL51" s="45"/>
      <c r="IFM51" s="45"/>
      <c r="IFN51" s="45"/>
      <c r="IFO51" s="45"/>
      <c r="IFP51" s="45"/>
      <c r="IFQ51" s="45"/>
      <c r="IFR51" s="45"/>
      <c r="IFS51" s="45"/>
      <c r="IFT51" s="45"/>
      <c r="IFU51" s="45"/>
      <c r="IFV51" s="45"/>
      <c r="IFW51" s="45"/>
      <c r="IFX51" s="45"/>
      <c r="IFY51" s="45"/>
      <c r="IFZ51" s="45"/>
      <c r="IGA51" s="45"/>
      <c r="IGB51" s="45"/>
      <c r="IGC51" s="45"/>
      <c r="IGD51" s="45"/>
      <c r="IGE51" s="45"/>
      <c r="IGF51" s="45"/>
      <c r="IGG51" s="45"/>
      <c r="IGH51" s="45"/>
      <c r="IGI51" s="45"/>
      <c r="IGJ51" s="45"/>
      <c r="IGK51" s="45"/>
      <c r="IGL51" s="45"/>
      <c r="IGM51" s="45"/>
      <c r="IGN51" s="45"/>
      <c r="IGO51" s="45"/>
      <c r="IGP51" s="45"/>
      <c r="IGQ51" s="45"/>
      <c r="IGR51" s="45"/>
      <c r="IGS51" s="45"/>
      <c r="IGT51" s="45"/>
      <c r="IGU51" s="45"/>
      <c r="IGV51" s="45"/>
      <c r="IGW51" s="45"/>
      <c r="IGX51" s="45"/>
      <c r="IGY51" s="45"/>
      <c r="IGZ51" s="45"/>
      <c r="IHA51" s="45"/>
      <c r="IHB51" s="45"/>
      <c r="IHC51" s="45"/>
      <c r="IHD51" s="45"/>
      <c r="IHE51" s="45"/>
      <c r="IHF51" s="45"/>
      <c r="IHG51" s="45"/>
      <c r="IHH51" s="45"/>
      <c r="IHI51" s="45"/>
      <c r="IHJ51" s="45"/>
      <c r="IHK51" s="45"/>
      <c r="IHL51" s="45"/>
      <c r="IHM51" s="45"/>
      <c r="IHN51" s="45"/>
      <c r="IHO51" s="45"/>
      <c r="IHP51" s="45"/>
      <c r="IHQ51" s="45"/>
      <c r="IHR51" s="45"/>
      <c r="IHS51" s="45"/>
      <c r="IHT51" s="45"/>
      <c r="IHU51" s="45"/>
      <c r="IHV51" s="45"/>
      <c r="IHW51" s="45"/>
      <c r="IHX51" s="45"/>
      <c r="IHY51" s="45"/>
      <c r="IHZ51" s="45"/>
      <c r="IIA51" s="45"/>
      <c r="IIB51" s="45"/>
      <c r="IIC51" s="45"/>
      <c r="IID51" s="45"/>
      <c r="IIE51" s="45"/>
      <c r="IIF51" s="45"/>
      <c r="IIG51" s="45"/>
      <c r="IIH51" s="45"/>
      <c r="III51" s="45"/>
      <c r="IIJ51" s="45"/>
      <c r="IIK51" s="45"/>
      <c r="IIL51" s="45"/>
      <c r="IIM51" s="45"/>
      <c r="IIN51" s="45"/>
      <c r="IIO51" s="45"/>
      <c r="IIP51" s="45"/>
      <c r="IIQ51" s="45"/>
      <c r="IIR51" s="45"/>
      <c r="IIS51" s="45"/>
      <c r="IIT51" s="45"/>
      <c r="IIU51" s="45"/>
      <c r="IIV51" s="45"/>
      <c r="IIW51" s="45"/>
      <c r="IIX51" s="45"/>
      <c r="IIY51" s="45"/>
      <c r="IIZ51" s="45"/>
      <c r="IJA51" s="45"/>
      <c r="IJB51" s="45"/>
      <c r="IJC51" s="45"/>
      <c r="IJD51" s="45"/>
      <c r="IJE51" s="45"/>
      <c r="IJF51" s="45"/>
      <c r="IJG51" s="45"/>
      <c r="IJH51" s="45"/>
      <c r="IJI51" s="45"/>
      <c r="IJJ51" s="45"/>
      <c r="IJK51" s="45"/>
      <c r="IJL51" s="45"/>
      <c r="IJM51" s="45"/>
      <c r="IJN51" s="45"/>
      <c r="IJO51" s="45"/>
      <c r="IJP51" s="45"/>
      <c r="IJQ51" s="45"/>
      <c r="IJR51" s="45"/>
      <c r="IJS51" s="45"/>
      <c r="IJT51" s="45"/>
      <c r="IJU51" s="45"/>
      <c r="IJV51" s="45"/>
      <c r="IJW51" s="45"/>
      <c r="IJX51" s="45"/>
      <c r="IJY51" s="45"/>
      <c r="IJZ51" s="45"/>
      <c r="IKA51" s="45"/>
      <c r="IKB51" s="45"/>
      <c r="IKC51" s="45"/>
      <c r="IKD51" s="45"/>
      <c r="IKE51" s="45"/>
      <c r="IKF51" s="45"/>
      <c r="IKG51" s="45"/>
      <c r="IKH51" s="45"/>
      <c r="IKI51" s="45"/>
      <c r="IKJ51" s="45"/>
      <c r="IKK51" s="45"/>
      <c r="IKL51" s="45"/>
      <c r="IKM51" s="45"/>
      <c r="IKN51" s="45"/>
      <c r="IKO51" s="45"/>
      <c r="IKP51" s="45"/>
      <c r="IKQ51" s="45"/>
      <c r="IKR51" s="45"/>
      <c r="IKS51" s="45"/>
      <c r="IKT51" s="45"/>
      <c r="IKU51" s="45"/>
      <c r="IKV51" s="45"/>
      <c r="IKW51" s="45"/>
      <c r="IKX51" s="45"/>
      <c r="IKY51" s="45"/>
      <c r="IKZ51" s="45"/>
      <c r="ILA51" s="45"/>
      <c r="ILB51" s="45"/>
      <c r="ILC51" s="45"/>
      <c r="ILD51" s="45"/>
      <c r="ILE51" s="45"/>
      <c r="ILF51" s="45"/>
      <c r="ILG51" s="45"/>
      <c r="ILH51" s="45"/>
      <c r="ILI51" s="45"/>
      <c r="ILJ51" s="45"/>
      <c r="ILK51" s="45"/>
      <c r="ILL51" s="45"/>
      <c r="ILM51" s="45"/>
      <c r="ILN51" s="45"/>
      <c r="ILO51" s="45"/>
      <c r="ILP51" s="45"/>
      <c r="ILQ51" s="45"/>
      <c r="ILR51" s="45"/>
      <c r="ILS51" s="45"/>
      <c r="ILT51" s="45"/>
      <c r="ILU51" s="45"/>
      <c r="ILV51" s="45"/>
      <c r="ILW51" s="45"/>
      <c r="ILX51" s="45"/>
      <c r="ILY51" s="45"/>
      <c r="ILZ51" s="45"/>
      <c r="IMA51" s="45"/>
      <c r="IMB51" s="45"/>
      <c r="IMC51" s="45"/>
      <c r="IMD51" s="45"/>
      <c r="IME51" s="45"/>
      <c r="IMF51" s="45"/>
      <c r="IMG51" s="45"/>
      <c r="IMH51" s="45"/>
      <c r="IMI51" s="45"/>
      <c r="IMJ51" s="45"/>
      <c r="IMK51" s="45"/>
      <c r="IML51" s="45"/>
      <c r="IMM51" s="45"/>
      <c r="IMN51" s="45"/>
      <c r="IMO51" s="45"/>
      <c r="IMP51" s="45"/>
      <c r="IMQ51" s="45"/>
      <c r="IMR51" s="45"/>
      <c r="IMS51" s="45"/>
      <c r="IMT51" s="45"/>
      <c r="IMU51" s="45"/>
      <c r="IMV51" s="45"/>
      <c r="IMW51" s="45"/>
      <c r="IMX51" s="45"/>
      <c r="IMY51" s="45"/>
      <c r="IMZ51" s="45"/>
      <c r="INA51" s="45"/>
      <c r="INB51" s="45"/>
      <c r="INC51" s="45"/>
      <c r="IND51" s="45"/>
      <c r="INE51" s="45"/>
      <c r="INF51" s="45"/>
      <c r="ING51" s="45"/>
      <c r="INH51" s="45"/>
      <c r="INI51" s="45"/>
      <c r="INJ51" s="45"/>
      <c r="INK51" s="45"/>
      <c r="INL51" s="45"/>
      <c r="INM51" s="45"/>
      <c r="INN51" s="45"/>
      <c r="INO51" s="45"/>
      <c r="INP51" s="45"/>
      <c r="INQ51" s="45"/>
      <c r="INR51" s="45"/>
      <c r="INS51" s="45"/>
      <c r="INT51" s="45"/>
      <c r="INU51" s="45"/>
      <c r="INV51" s="45"/>
      <c r="INW51" s="45"/>
      <c r="INX51" s="45"/>
      <c r="INY51" s="45"/>
      <c r="INZ51" s="45"/>
      <c r="IOA51" s="45"/>
      <c r="IOB51" s="45"/>
      <c r="IOC51" s="45"/>
      <c r="IOD51" s="45"/>
      <c r="IOE51" s="45"/>
      <c r="IOF51" s="45"/>
      <c r="IOG51" s="45"/>
      <c r="IOH51" s="45"/>
      <c r="IOI51" s="45"/>
      <c r="IOJ51" s="45"/>
      <c r="IOK51" s="45"/>
      <c r="IOL51" s="45"/>
      <c r="IOM51" s="45"/>
      <c r="ION51" s="45"/>
      <c r="IOO51" s="45"/>
      <c r="IOP51" s="45"/>
      <c r="IOQ51" s="45"/>
      <c r="IOR51" s="45"/>
      <c r="IOS51" s="45"/>
      <c r="IOT51" s="45"/>
      <c r="IOU51" s="45"/>
      <c r="IOV51" s="45"/>
      <c r="IOW51" s="45"/>
      <c r="IOX51" s="45"/>
      <c r="IOY51" s="45"/>
      <c r="IOZ51" s="45"/>
      <c r="IPA51" s="45"/>
      <c r="IPB51" s="45"/>
      <c r="IPC51" s="45"/>
      <c r="IPD51" s="45"/>
      <c r="IPE51" s="45"/>
      <c r="IPF51" s="45"/>
      <c r="IPG51" s="45"/>
      <c r="IPH51" s="45"/>
      <c r="IPI51" s="45"/>
      <c r="IPJ51" s="45"/>
      <c r="IPK51" s="45"/>
      <c r="IPL51" s="45"/>
      <c r="IPM51" s="45"/>
      <c r="IPN51" s="45"/>
      <c r="IPO51" s="45"/>
      <c r="IPP51" s="45"/>
      <c r="IPQ51" s="45"/>
      <c r="IPR51" s="45"/>
      <c r="IPS51" s="45"/>
      <c r="IPT51" s="45"/>
      <c r="IPU51" s="45"/>
      <c r="IPV51" s="45"/>
      <c r="IPW51" s="45"/>
      <c r="IPX51" s="45"/>
      <c r="IPY51" s="45"/>
      <c r="IPZ51" s="45"/>
      <c r="IQA51" s="45"/>
      <c r="IQB51" s="45"/>
      <c r="IQC51" s="45"/>
      <c r="IQD51" s="45"/>
      <c r="IQE51" s="45"/>
      <c r="IQF51" s="45"/>
      <c r="IQG51" s="45"/>
      <c r="IQH51" s="45"/>
      <c r="IQI51" s="45"/>
      <c r="IQJ51" s="45"/>
      <c r="IQK51" s="45"/>
      <c r="IQL51" s="45"/>
      <c r="IQM51" s="45"/>
      <c r="IQN51" s="45"/>
      <c r="IQO51" s="45"/>
      <c r="IQP51" s="45"/>
      <c r="IQQ51" s="45"/>
      <c r="IQR51" s="45"/>
      <c r="IQS51" s="45"/>
      <c r="IQT51" s="45"/>
      <c r="IQU51" s="45"/>
      <c r="IQV51" s="45"/>
      <c r="IQW51" s="45"/>
      <c r="IQX51" s="45"/>
      <c r="IQY51" s="45"/>
      <c r="IQZ51" s="45"/>
      <c r="IRA51" s="45"/>
      <c r="IRB51" s="45"/>
      <c r="IRC51" s="45"/>
      <c r="IRD51" s="45"/>
      <c r="IRE51" s="45"/>
      <c r="IRF51" s="45"/>
      <c r="IRG51" s="45"/>
      <c r="IRH51" s="45"/>
      <c r="IRI51" s="45"/>
      <c r="IRJ51" s="45"/>
      <c r="IRK51" s="45"/>
      <c r="IRL51" s="45"/>
      <c r="IRM51" s="45"/>
      <c r="IRN51" s="45"/>
      <c r="IRO51" s="45"/>
      <c r="IRP51" s="45"/>
      <c r="IRQ51" s="45"/>
      <c r="IRR51" s="45"/>
      <c r="IRS51" s="45"/>
      <c r="IRT51" s="45"/>
      <c r="IRU51" s="45"/>
      <c r="IRV51" s="45"/>
      <c r="IRW51" s="45"/>
      <c r="IRX51" s="45"/>
      <c r="IRY51" s="45"/>
      <c r="IRZ51" s="45"/>
      <c r="ISA51" s="45"/>
      <c r="ISB51" s="45"/>
      <c r="ISC51" s="45"/>
      <c r="ISD51" s="45"/>
      <c r="ISE51" s="45"/>
      <c r="ISF51" s="45"/>
      <c r="ISG51" s="45"/>
      <c r="ISH51" s="45"/>
      <c r="ISI51" s="45"/>
      <c r="ISJ51" s="45"/>
      <c r="ISK51" s="45"/>
      <c r="ISL51" s="45"/>
      <c r="ISM51" s="45"/>
      <c r="ISN51" s="45"/>
      <c r="ISO51" s="45"/>
      <c r="ISP51" s="45"/>
      <c r="ISQ51" s="45"/>
      <c r="ISR51" s="45"/>
      <c r="ISS51" s="45"/>
      <c r="IST51" s="45"/>
      <c r="ISU51" s="45"/>
      <c r="ISV51" s="45"/>
      <c r="ISW51" s="45"/>
      <c r="ISX51" s="45"/>
      <c r="ISY51" s="45"/>
      <c r="ISZ51" s="45"/>
      <c r="ITA51" s="45"/>
      <c r="ITB51" s="45"/>
      <c r="ITC51" s="45"/>
      <c r="ITD51" s="45"/>
      <c r="ITE51" s="45"/>
      <c r="ITF51" s="45"/>
      <c r="ITG51" s="45"/>
      <c r="ITH51" s="45"/>
      <c r="ITI51" s="45"/>
      <c r="ITJ51" s="45"/>
      <c r="ITK51" s="45"/>
      <c r="ITL51" s="45"/>
      <c r="ITM51" s="45"/>
      <c r="ITN51" s="45"/>
      <c r="ITO51" s="45"/>
      <c r="ITP51" s="45"/>
      <c r="ITQ51" s="45"/>
      <c r="ITR51" s="45"/>
      <c r="ITS51" s="45"/>
      <c r="ITT51" s="45"/>
      <c r="ITU51" s="45"/>
      <c r="ITV51" s="45"/>
      <c r="ITW51" s="45"/>
      <c r="ITX51" s="45"/>
      <c r="ITY51" s="45"/>
      <c r="ITZ51" s="45"/>
      <c r="IUA51" s="45"/>
      <c r="IUB51" s="45"/>
      <c r="IUC51" s="45"/>
      <c r="IUD51" s="45"/>
      <c r="IUE51" s="45"/>
      <c r="IUF51" s="45"/>
      <c r="IUG51" s="45"/>
      <c r="IUH51" s="45"/>
      <c r="IUI51" s="45"/>
      <c r="IUJ51" s="45"/>
      <c r="IUK51" s="45"/>
      <c r="IUL51" s="45"/>
      <c r="IUM51" s="45"/>
      <c r="IUN51" s="45"/>
      <c r="IUO51" s="45"/>
      <c r="IUP51" s="45"/>
      <c r="IUQ51" s="45"/>
      <c r="IUR51" s="45"/>
      <c r="IUS51" s="45"/>
      <c r="IUT51" s="45"/>
      <c r="IUU51" s="45"/>
      <c r="IUV51" s="45"/>
      <c r="IUW51" s="45"/>
      <c r="IUX51" s="45"/>
      <c r="IUY51" s="45"/>
      <c r="IUZ51" s="45"/>
      <c r="IVA51" s="45"/>
      <c r="IVB51" s="45"/>
      <c r="IVC51" s="45"/>
      <c r="IVD51" s="45"/>
      <c r="IVE51" s="45"/>
      <c r="IVF51" s="45"/>
      <c r="IVG51" s="45"/>
      <c r="IVH51" s="45"/>
      <c r="IVI51" s="45"/>
      <c r="IVJ51" s="45"/>
      <c r="IVK51" s="45"/>
      <c r="IVL51" s="45"/>
      <c r="IVM51" s="45"/>
      <c r="IVN51" s="45"/>
      <c r="IVO51" s="45"/>
      <c r="IVP51" s="45"/>
      <c r="IVQ51" s="45"/>
      <c r="IVR51" s="45"/>
      <c r="IVS51" s="45"/>
      <c r="IVT51" s="45"/>
      <c r="IVU51" s="45"/>
      <c r="IVV51" s="45"/>
      <c r="IVW51" s="45"/>
      <c r="IVX51" s="45"/>
      <c r="IVY51" s="45"/>
      <c r="IVZ51" s="45"/>
      <c r="IWA51" s="45"/>
      <c r="IWB51" s="45"/>
      <c r="IWC51" s="45"/>
      <c r="IWD51" s="45"/>
      <c r="IWE51" s="45"/>
      <c r="IWF51" s="45"/>
      <c r="IWG51" s="45"/>
      <c r="IWH51" s="45"/>
      <c r="IWI51" s="45"/>
      <c r="IWJ51" s="45"/>
      <c r="IWK51" s="45"/>
      <c r="IWL51" s="45"/>
      <c r="IWM51" s="45"/>
      <c r="IWN51" s="45"/>
      <c r="IWO51" s="45"/>
      <c r="IWP51" s="45"/>
      <c r="IWQ51" s="45"/>
      <c r="IWR51" s="45"/>
      <c r="IWS51" s="45"/>
      <c r="IWT51" s="45"/>
      <c r="IWU51" s="45"/>
      <c r="IWV51" s="45"/>
      <c r="IWW51" s="45"/>
      <c r="IWX51" s="45"/>
      <c r="IWY51" s="45"/>
      <c r="IWZ51" s="45"/>
      <c r="IXA51" s="45"/>
      <c r="IXB51" s="45"/>
      <c r="IXC51" s="45"/>
      <c r="IXD51" s="45"/>
      <c r="IXE51" s="45"/>
      <c r="IXF51" s="45"/>
      <c r="IXG51" s="45"/>
      <c r="IXH51" s="45"/>
      <c r="IXI51" s="45"/>
      <c r="IXJ51" s="45"/>
      <c r="IXK51" s="45"/>
      <c r="IXL51" s="45"/>
      <c r="IXM51" s="45"/>
      <c r="IXN51" s="45"/>
      <c r="IXO51" s="45"/>
      <c r="IXP51" s="45"/>
      <c r="IXQ51" s="45"/>
      <c r="IXR51" s="45"/>
      <c r="IXS51" s="45"/>
      <c r="IXT51" s="45"/>
      <c r="IXU51" s="45"/>
      <c r="IXV51" s="45"/>
      <c r="IXW51" s="45"/>
      <c r="IXX51" s="45"/>
      <c r="IXY51" s="45"/>
      <c r="IXZ51" s="45"/>
      <c r="IYA51" s="45"/>
      <c r="IYB51" s="45"/>
      <c r="IYC51" s="45"/>
      <c r="IYD51" s="45"/>
      <c r="IYE51" s="45"/>
      <c r="IYF51" s="45"/>
      <c r="IYG51" s="45"/>
      <c r="IYH51" s="45"/>
      <c r="IYI51" s="45"/>
      <c r="IYJ51" s="45"/>
      <c r="IYK51" s="45"/>
      <c r="IYL51" s="45"/>
      <c r="IYM51" s="45"/>
      <c r="IYN51" s="45"/>
      <c r="IYO51" s="45"/>
      <c r="IYP51" s="45"/>
      <c r="IYQ51" s="45"/>
      <c r="IYR51" s="45"/>
      <c r="IYS51" s="45"/>
      <c r="IYT51" s="45"/>
      <c r="IYU51" s="45"/>
      <c r="IYV51" s="45"/>
      <c r="IYW51" s="45"/>
      <c r="IYX51" s="45"/>
      <c r="IYY51" s="45"/>
      <c r="IYZ51" s="45"/>
      <c r="IZA51" s="45"/>
      <c r="IZB51" s="45"/>
      <c r="IZC51" s="45"/>
      <c r="IZD51" s="45"/>
      <c r="IZE51" s="45"/>
      <c r="IZF51" s="45"/>
      <c r="IZG51" s="45"/>
      <c r="IZH51" s="45"/>
      <c r="IZI51" s="45"/>
      <c r="IZJ51" s="45"/>
      <c r="IZK51" s="45"/>
      <c r="IZL51" s="45"/>
      <c r="IZM51" s="45"/>
      <c r="IZN51" s="45"/>
      <c r="IZO51" s="45"/>
      <c r="IZP51" s="45"/>
      <c r="IZQ51" s="45"/>
      <c r="IZR51" s="45"/>
      <c r="IZS51" s="45"/>
      <c r="IZT51" s="45"/>
      <c r="IZU51" s="45"/>
      <c r="IZV51" s="45"/>
      <c r="IZW51" s="45"/>
      <c r="IZX51" s="45"/>
      <c r="IZY51" s="45"/>
      <c r="IZZ51" s="45"/>
      <c r="JAA51" s="45"/>
      <c r="JAB51" s="45"/>
      <c r="JAC51" s="45"/>
      <c r="JAD51" s="45"/>
      <c r="JAE51" s="45"/>
      <c r="JAF51" s="45"/>
      <c r="JAG51" s="45"/>
      <c r="JAH51" s="45"/>
      <c r="JAI51" s="45"/>
      <c r="JAJ51" s="45"/>
      <c r="JAK51" s="45"/>
      <c r="JAL51" s="45"/>
      <c r="JAM51" s="45"/>
      <c r="JAN51" s="45"/>
      <c r="JAO51" s="45"/>
      <c r="JAP51" s="45"/>
      <c r="JAQ51" s="45"/>
      <c r="JAR51" s="45"/>
      <c r="JAS51" s="45"/>
      <c r="JAT51" s="45"/>
      <c r="JAU51" s="45"/>
      <c r="JAV51" s="45"/>
      <c r="JAW51" s="45"/>
      <c r="JAX51" s="45"/>
      <c r="JAY51" s="45"/>
      <c r="JAZ51" s="45"/>
      <c r="JBA51" s="45"/>
      <c r="JBB51" s="45"/>
      <c r="JBC51" s="45"/>
      <c r="JBD51" s="45"/>
      <c r="JBE51" s="45"/>
      <c r="JBF51" s="45"/>
      <c r="JBG51" s="45"/>
      <c r="JBH51" s="45"/>
      <c r="JBI51" s="45"/>
      <c r="JBJ51" s="45"/>
      <c r="JBK51" s="45"/>
      <c r="JBL51" s="45"/>
      <c r="JBM51" s="45"/>
      <c r="JBN51" s="45"/>
      <c r="JBO51" s="45"/>
      <c r="JBP51" s="45"/>
      <c r="JBQ51" s="45"/>
      <c r="JBR51" s="45"/>
      <c r="JBS51" s="45"/>
      <c r="JBT51" s="45"/>
      <c r="JBU51" s="45"/>
      <c r="JBV51" s="45"/>
      <c r="JBW51" s="45"/>
      <c r="JBX51" s="45"/>
      <c r="JBY51" s="45"/>
      <c r="JBZ51" s="45"/>
      <c r="JCA51" s="45"/>
      <c r="JCB51" s="45"/>
      <c r="JCC51" s="45"/>
      <c r="JCD51" s="45"/>
      <c r="JCE51" s="45"/>
      <c r="JCF51" s="45"/>
      <c r="JCG51" s="45"/>
      <c r="JCH51" s="45"/>
      <c r="JCI51" s="45"/>
      <c r="JCJ51" s="45"/>
      <c r="JCK51" s="45"/>
      <c r="JCL51" s="45"/>
      <c r="JCM51" s="45"/>
      <c r="JCN51" s="45"/>
      <c r="JCO51" s="45"/>
      <c r="JCP51" s="45"/>
      <c r="JCQ51" s="45"/>
      <c r="JCR51" s="45"/>
      <c r="JCS51" s="45"/>
      <c r="JCT51" s="45"/>
      <c r="JCU51" s="45"/>
      <c r="JCV51" s="45"/>
      <c r="JCW51" s="45"/>
      <c r="JCX51" s="45"/>
      <c r="JCY51" s="45"/>
      <c r="JCZ51" s="45"/>
      <c r="JDA51" s="45"/>
      <c r="JDB51" s="45"/>
      <c r="JDC51" s="45"/>
      <c r="JDD51" s="45"/>
      <c r="JDE51" s="45"/>
      <c r="JDF51" s="45"/>
      <c r="JDG51" s="45"/>
      <c r="JDH51" s="45"/>
      <c r="JDI51" s="45"/>
      <c r="JDJ51" s="45"/>
      <c r="JDK51" s="45"/>
      <c r="JDL51" s="45"/>
      <c r="JDM51" s="45"/>
      <c r="JDN51" s="45"/>
      <c r="JDO51" s="45"/>
      <c r="JDP51" s="45"/>
      <c r="JDQ51" s="45"/>
      <c r="JDR51" s="45"/>
      <c r="JDS51" s="45"/>
      <c r="JDT51" s="45"/>
      <c r="JDU51" s="45"/>
      <c r="JDV51" s="45"/>
      <c r="JDW51" s="45"/>
      <c r="JDX51" s="45"/>
      <c r="JDY51" s="45"/>
      <c r="JDZ51" s="45"/>
      <c r="JEA51" s="45"/>
      <c r="JEB51" s="45"/>
      <c r="JEC51" s="45"/>
      <c r="JED51" s="45"/>
      <c r="JEE51" s="45"/>
      <c r="JEF51" s="45"/>
      <c r="JEG51" s="45"/>
      <c r="JEH51" s="45"/>
      <c r="JEI51" s="45"/>
      <c r="JEJ51" s="45"/>
      <c r="JEK51" s="45"/>
      <c r="JEL51" s="45"/>
      <c r="JEM51" s="45"/>
      <c r="JEN51" s="45"/>
      <c r="JEO51" s="45"/>
      <c r="JEP51" s="45"/>
      <c r="JEQ51" s="45"/>
      <c r="JER51" s="45"/>
      <c r="JES51" s="45"/>
      <c r="JET51" s="45"/>
      <c r="JEU51" s="45"/>
      <c r="JEV51" s="45"/>
      <c r="JEW51" s="45"/>
      <c r="JEX51" s="45"/>
      <c r="JEY51" s="45"/>
      <c r="JEZ51" s="45"/>
      <c r="JFA51" s="45"/>
      <c r="JFB51" s="45"/>
      <c r="JFC51" s="45"/>
      <c r="JFD51" s="45"/>
      <c r="JFE51" s="45"/>
      <c r="JFF51" s="45"/>
      <c r="JFG51" s="45"/>
      <c r="JFH51" s="45"/>
      <c r="JFI51" s="45"/>
      <c r="JFJ51" s="45"/>
      <c r="JFK51" s="45"/>
      <c r="JFL51" s="45"/>
      <c r="JFM51" s="45"/>
      <c r="JFN51" s="45"/>
      <c r="JFO51" s="45"/>
      <c r="JFP51" s="45"/>
      <c r="JFQ51" s="45"/>
      <c r="JFR51" s="45"/>
      <c r="JFS51" s="45"/>
      <c r="JFT51" s="45"/>
      <c r="JFU51" s="45"/>
      <c r="JFV51" s="45"/>
      <c r="JFW51" s="45"/>
      <c r="JFX51" s="45"/>
      <c r="JFY51" s="45"/>
      <c r="JFZ51" s="45"/>
      <c r="JGA51" s="45"/>
      <c r="JGB51" s="45"/>
      <c r="JGC51" s="45"/>
      <c r="JGD51" s="45"/>
      <c r="JGE51" s="45"/>
      <c r="JGF51" s="45"/>
      <c r="JGG51" s="45"/>
      <c r="JGH51" s="45"/>
      <c r="JGI51" s="45"/>
      <c r="JGJ51" s="45"/>
      <c r="JGK51" s="45"/>
      <c r="JGL51" s="45"/>
      <c r="JGM51" s="45"/>
      <c r="JGN51" s="45"/>
      <c r="JGO51" s="45"/>
      <c r="JGP51" s="45"/>
      <c r="JGQ51" s="45"/>
      <c r="JGR51" s="45"/>
      <c r="JGS51" s="45"/>
      <c r="JGT51" s="45"/>
      <c r="JGU51" s="45"/>
      <c r="JGV51" s="45"/>
      <c r="JGW51" s="45"/>
      <c r="JGX51" s="45"/>
      <c r="JGY51" s="45"/>
      <c r="JGZ51" s="45"/>
      <c r="JHA51" s="45"/>
      <c r="JHB51" s="45"/>
      <c r="JHC51" s="45"/>
      <c r="JHD51" s="45"/>
      <c r="JHE51" s="45"/>
      <c r="JHF51" s="45"/>
      <c r="JHG51" s="45"/>
      <c r="JHH51" s="45"/>
      <c r="JHI51" s="45"/>
      <c r="JHJ51" s="45"/>
      <c r="JHK51" s="45"/>
      <c r="JHL51" s="45"/>
      <c r="JHM51" s="45"/>
      <c r="JHN51" s="45"/>
      <c r="JHO51" s="45"/>
      <c r="JHP51" s="45"/>
      <c r="JHQ51" s="45"/>
      <c r="JHR51" s="45"/>
      <c r="JHS51" s="45"/>
      <c r="JHT51" s="45"/>
      <c r="JHU51" s="45"/>
      <c r="JHV51" s="45"/>
      <c r="JHW51" s="45"/>
      <c r="JHX51" s="45"/>
      <c r="JHY51" s="45"/>
      <c r="JHZ51" s="45"/>
      <c r="JIA51" s="45"/>
      <c r="JIB51" s="45"/>
      <c r="JIC51" s="45"/>
      <c r="JID51" s="45"/>
      <c r="JIE51" s="45"/>
      <c r="JIF51" s="45"/>
      <c r="JIG51" s="45"/>
      <c r="JIH51" s="45"/>
      <c r="JII51" s="45"/>
      <c r="JIJ51" s="45"/>
      <c r="JIK51" s="45"/>
      <c r="JIL51" s="45"/>
      <c r="JIM51" s="45"/>
      <c r="JIN51" s="45"/>
      <c r="JIO51" s="45"/>
      <c r="JIP51" s="45"/>
      <c r="JIQ51" s="45"/>
      <c r="JIR51" s="45"/>
      <c r="JIS51" s="45"/>
      <c r="JIT51" s="45"/>
      <c r="JIU51" s="45"/>
      <c r="JIV51" s="45"/>
      <c r="JIW51" s="45"/>
      <c r="JIX51" s="45"/>
      <c r="JIY51" s="45"/>
      <c r="JIZ51" s="45"/>
      <c r="JJA51" s="45"/>
      <c r="JJB51" s="45"/>
      <c r="JJC51" s="45"/>
      <c r="JJD51" s="45"/>
      <c r="JJE51" s="45"/>
      <c r="JJF51" s="45"/>
      <c r="JJG51" s="45"/>
      <c r="JJH51" s="45"/>
      <c r="JJI51" s="45"/>
      <c r="JJJ51" s="45"/>
      <c r="JJK51" s="45"/>
      <c r="JJL51" s="45"/>
      <c r="JJM51" s="45"/>
      <c r="JJN51" s="45"/>
      <c r="JJO51" s="45"/>
      <c r="JJP51" s="45"/>
      <c r="JJQ51" s="45"/>
      <c r="JJR51" s="45"/>
      <c r="JJS51" s="45"/>
      <c r="JJT51" s="45"/>
      <c r="JJU51" s="45"/>
      <c r="JJV51" s="45"/>
      <c r="JJW51" s="45"/>
      <c r="JJX51" s="45"/>
      <c r="JJY51" s="45"/>
      <c r="JJZ51" s="45"/>
      <c r="JKA51" s="45"/>
      <c r="JKB51" s="45"/>
      <c r="JKC51" s="45"/>
      <c r="JKD51" s="45"/>
      <c r="JKE51" s="45"/>
      <c r="JKF51" s="45"/>
      <c r="JKG51" s="45"/>
      <c r="JKH51" s="45"/>
      <c r="JKI51" s="45"/>
      <c r="JKJ51" s="45"/>
      <c r="JKK51" s="45"/>
      <c r="JKL51" s="45"/>
      <c r="JKM51" s="45"/>
      <c r="JKN51" s="45"/>
      <c r="JKO51" s="45"/>
      <c r="JKP51" s="45"/>
      <c r="JKQ51" s="45"/>
      <c r="JKR51" s="45"/>
      <c r="JKS51" s="45"/>
      <c r="JKT51" s="45"/>
      <c r="JKU51" s="45"/>
      <c r="JKV51" s="45"/>
      <c r="JKW51" s="45"/>
      <c r="JKX51" s="45"/>
      <c r="JKY51" s="45"/>
      <c r="JKZ51" s="45"/>
      <c r="JLA51" s="45"/>
      <c r="JLB51" s="45"/>
      <c r="JLC51" s="45"/>
      <c r="JLD51" s="45"/>
      <c r="JLE51" s="45"/>
      <c r="JLF51" s="45"/>
      <c r="JLG51" s="45"/>
      <c r="JLH51" s="45"/>
      <c r="JLI51" s="45"/>
      <c r="JLJ51" s="45"/>
      <c r="JLK51" s="45"/>
      <c r="JLL51" s="45"/>
      <c r="JLM51" s="45"/>
      <c r="JLN51" s="45"/>
      <c r="JLO51" s="45"/>
      <c r="JLP51" s="45"/>
      <c r="JLQ51" s="45"/>
      <c r="JLR51" s="45"/>
      <c r="JLS51" s="45"/>
      <c r="JLT51" s="45"/>
      <c r="JLU51" s="45"/>
      <c r="JLV51" s="45"/>
      <c r="JLW51" s="45"/>
      <c r="JLX51" s="45"/>
      <c r="JLY51" s="45"/>
      <c r="JLZ51" s="45"/>
      <c r="JMA51" s="45"/>
      <c r="JMB51" s="45"/>
      <c r="JMC51" s="45"/>
      <c r="JMD51" s="45"/>
      <c r="JME51" s="45"/>
      <c r="JMF51" s="45"/>
      <c r="JMG51" s="45"/>
      <c r="JMH51" s="45"/>
      <c r="JMI51" s="45"/>
      <c r="JMJ51" s="45"/>
      <c r="JMK51" s="45"/>
      <c r="JML51" s="45"/>
      <c r="JMM51" s="45"/>
      <c r="JMN51" s="45"/>
      <c r="JMO51" s="45"/>
      <c r="JMP51" s="45"/>
      <c r="JMQ51" s="45"/>
      <c r="JMR51" s="45"/>
      <c r="JMS51" s="45"/>
      <c r="JMT51" s="45"/>
      <c r="JMU51" s="45"/>
      <c r="JMV51" s="45"/>
      <c r="JMW51" s="45"/>
      <c r="JMX51" s="45"/>
      <c r="JMY51" s="45"/>
      <c r="JMZ51" s="45"/>
      <c r="JNA51" s="45"/>
      <c r="JNB51" s="45"/>
      <c r="JNC51" s="45"/>
      <c r="JND51" s="45"/>
      <c r="JNE51" s="45"/>
      <c r="JNF51" s="45"/>
      <c r="JNG51" s="45"/>
      <c r="JNH51" s="45"/>
      <c r="JNI51" s="45"/>
      <c r="JNJ51" s="45"/>
      <c r="JNK51" s="45"/>
      <c r="JNL51" s="45"/>
      <c r="JNM51" s="45"/>
      <c r="JNN51" s="45"/>
      <c r="JNO51" s="45"/>
      <c r="JNP51" s="45"/>
      <c r="JNQ51" s="45"/>
      <c r="JNR51" s="45"/>
      <c r="JNS51" s="45"/>
      <c r="JNT51" s="45"/>
      <c r="JNU51" s="45"/>
      <c r="JNV51" s="45"/>
      <c r="JNW51" s="45"/>
      <c r="JNX51" s="45"/>
      <c r="JNY51" s="45"/>
      <c r="JNZ51" s="45"/>
      <c r="JOA51" s="45"/>
      <c r="JOB51" s="45"/>
      <c r="JOC51" s="45"/>
      <c r="JOD51" s="45"/>
      <c r="JOE51" s="45"/>
      <c r="JOF51" s="45"/>
      <c r="JOG51" s="45"/>
      <c r="JOH51" s="45"/>
      <c r="JOI51" s="45"/>
      <c r="JOJ51" s="45"/>
      <c r="JOK51" s="45"/>
      <c r="JOL51" s="45"/>
      <c r="JOM51" s="45"/>
      <c r="JON51" s="45"/>
      <c r="JOO51" s="45"/>
      <c r="JOP51" s="45"/>
      <c r="JOQ51" s="45"/>
      <c r="JOR51" s="45"/>
      <c r="JOS51" s="45"/>
      <c r="JOT51" s="45"/>
      <c r="JOU51" s="45"/>
      <c r="JOV51" s="45"/>
      <c r="JOW51" s="45"/>
      <c r="JOX51" s="45"/>
      <c r="JOY51" s="45"/>
      <c r="JOZ51" s="45"/>
      <c r="JPA51" s="45"/>
      <c r="JPB51" s="45"/>
      <c r="JPC51" s="45"/>
      <c r="JPD51" s="45"/>
      <c r="JPE51" s="45"/>
      <c r="JPF51" s="45"/>
      <c r="JPG51" s="45"/>
      <c r="JPH51" s="45"/>
      <c r="JPI51" s="45"/>
      <c r="JPJ51" s="45"/>
      <c r="JPK51" s="45"/>
      <c r="JPL51" s="45"/>
      <c r="JPM51" s="45"/>
      <c r="JPN51" s="45"/>
      <c r="JPO51" s="45"/>
      <c r="JPP51" s="45"/>
      <c r="JPQ51" s="45"/>
      <c r="JPR51" s="45"/>
      <c r="JPS51" s="45"/>
      <c r="JPT51" s="45"/>
      <c r="JPU51" s="45"/>
      <c r="JPV51" s="45"/>
      <c r="JPW51" s="45"/>
      <c r="JPX51" s="45"/>
      <c r="JPY51" s="45"/>
      <c r="JPZ51" s="45"/>
      <c r="JQA51" s="45"/>
      <c r="JQB51" s="45"/>
      <c r="JQC51" s="45"/>
      <c r="JQD51" s="45"/>
      <c r="JQE51" s="45"/>
      <c r="JQF51" s="45"/>
      <c r="JQG51" s="45"/>
      <c r="JQH51" s="45"/>
      <c r="JQI51" s="45"/>
      <c r="JQJ51" s="45"/>
      <c r="JQK51" s="45"/>
      <c r="JQL51" s="45"/>
      <c r="JQM51" s="45"/>
      <c r="JQN51" s="45"/>
      <c r="JQO51" s="45"/>
      <c r="JQP51" s="45"/>
      <c r="JQQ51" s="45"/>
      <c r="JQR51" s="45"/>
      <c r="JQS51" s="45"/>
      <c r="JQT51" s="45"/>
      <c r="JQU51" s="45"/>
      <c r="JQV51" s="45"/>
      <c r="JQW51" s="45"/>
      <c r="JQX51" s="45"/>
      <c r="JQY51" s="45"/>
      <c r="JQZ51" s="45"/>
      <c r="JRA51" s="45"/>
      <c r="JRB51" s="45"/>
      <c r="JRC51" s="45"/>
      <c r="JRD51" s="45"/>
      <c r="JRE51" s="45"/>
      <c r="JRF51" s="45"/>
      <c r="JRG51" s="45"/>
      <c r="JRH51" s="45"/>
      <c r="JRI51" s="45"/>
      <c r="JRJ51" s="45"/>
      <c r="JRK51" s="45"/>
      <c r="JRL51" s="45"/>
      <c r="JRM51" s="45"/>
      <c r="JRN51" s="45"/>
      <c r="JRO51" s="45"/>
      <c r="JRP51" s="45"/>
      <c r="JRQ51" s="45"/>
      <c r="JRR51" s="45"/>
      <c r="JRS51" s="45"/>
      <c r="JRT51" s="45"/>
      <c r="JRU51" s="45"/>
      <c r="JRV51" s="45"/>
      <c r="JRW51" s="45"/>
      <c r="JRX51" s="45"/>
      <c r="JRY51" s="45"/>
      <c r="JRZ51" s="45"/>
      <c r="JSA51" s="45"/>
      <c r="JSB51" s="45"/>
      <c r="JSC51" s="45"/>
      <c r="JSD51" s="45"/>
      <c r="JSE51" s="45"/>
      <c r="JSF51" s="45"/>
      <c r="JSG51" s="45"/>
      <c r="JSH51" s="45"/>
      <c r="JSI51" s="45"/>
      <c r="JSJ51" s="45"/>
      <c r="JSK51" s="45"/>
      <c r="JSL51" s="45"/>
      <c r="JSM51" s="45"/>
      <c r="JSN51" s="45"/>
      <c r="JSO51" s="45"/>
      <c r="JSP51" s="45"/>
      <c r="JSQ51" s="45"/>
      <c r="JSR51" s="45"/>
      <c r="JSS51" s="45"/>
      <c r="JST51" s="45"/>
      <c r="JSU51" s="45"/>
      <c r="JSV51" s="45"/>
      <c r="JSW51" s="45"/>
      <c r="JSX51" s="45"/>
      <c r="JSY51" s="45"/>
      <c r="JSZ51" s="45"/>
      <c r="JTA51" s="45"/>
      <c r="JTB51" s="45"/>
      <c r="JTC51" s="45"/>
      <c r="JTD51" s="45"/>
      <c r="JTE51" s="45"/>
      <c r="JTF51" s="45"/>
      <c r="JTG51" s="45"/>
      <c r="JTH51" s="45"/>
      <c r="JTI51" s="45"/>
      <c r="JTJ51" s="45"/>
      <c r="JTK51" s="45"/>
      <c r="JTL51" s="45"/>
      <c r="JTM51" s="45"/>
      <c r="JTN51" s="45"/>
      <c r="JTO51" s="45"/>
      <c r="JTP51" s="45"/>
      <c r="JTQ51" s="45"/>
      <c r="JTR51" s="45"/>
      <c r="JTS51" s="45"/>
      <c r="JTT51" s="45"/>
      <c r="JTU51" s="45"/>
      <c r="JTV51" s="45"/>
      <c r="JTW51" s="45"/>
      <c r="JTX51" s="45"/>
      <c r="JTY51" s="45"/>
      <c r="JTZ51" s="45"/>
      <c r="JUA51" s="45"/>
      <c r="JUB51" s="45"/>
      <c r="JUC51" s="45"/>
      <c r="JUD51" s="45"/>
      <c r="JUE51" s="45"/>
      <c r="JUF51" s="45"/>
      <c r="JUG51" s="45"/>
      <c r="JUH51" s="45"/>
      <c r="JUI51" s="45"/>
      <c r="JUJ51" s="45"/>
      <c r="JUK51" s="45"/>
      <c r="JUL51" s="45"/>
      <c r="JUM51" s="45"/>
      <c r="JUN51" s="45"/>
      <c r="JUO51" s="45"/>
      <c r="JUP51" s="45"/>
      <c r="JUQ51" s="45"/>
      <c r="JUR51" s="45"/>
      <c r="JUS51" s="45"/>
      <c r="JUT51" s="45"/>
      <c r="JUU51" s="45"/>
      <c r="JUV51" s="45"/>
      <c r="JUW51" s="45"/>
      <c r="JUX51" s="45"/>
      <c r="JUY51" s="45"/>
      <c r="JUZ51" s="45"/>
      <c r="JVA51" s="45"/>
      <c r="JVB51" s="45"/>
      <c r="JVC51" s="45"/>
      <c r="JVD51" s="45"/>
      <c r="JVE51" s="45"/>
      <c r="JVF51" s="45"/>
      <c r="JVG51" s="45"/>
      <c r="JVH51" s="45"/>
      <c r="JVI51" s="45"/>
      <c r="JVJ51" s="45"/>
      <c r="JVK51" s="45"/>
      <c r="JVL51" s="45"/>
      <c r="JVM51" s="45"/>
      <c r="JVN51" s="45"/>
      <c r="JVO51" s="45"/>
      <c r="JVP51" s="45"/>
      <c r="JVQ51" s="45"/>
      <c r="JVR51" s="45"/>
      <c r="JVS51" s="45"/>
      <c r="JVT51" s="45"/>
      <c r="JVU51" s="45"/>
      <c r="JVV51" s="45"/>
      <c r="JVW51" s="45"/>
      <c r="JVX51" s="45"/>
      <c r="JVY51" s="45"/>
      <c r="JVZ51" s="45"/>
      <c r="JWA51" s="45"/>
      <c r="JWB51" s="45"/>
      <c r="JWC51" s="45"/>
      <c r="JWD51" s="45"/>
      <c r="JWE51" s="45"/>
      <c r="JWF51" s="45"/>
      <c r="JWG51" s="45"/>
      <c r="JWH51" s="45"/>
      <c r="JWI51" s="45"/>
      <c r="JWJ51" s="45"/>
      <c r="JWK51" s="45"/>
      <c r="JWL51" s="45"/>
      <c r="JWM51" s="45"/>
      <c r="JWN51" s="45"/>
      <c r="JWO51" s="45"/>
      <c r="JWP51" s="45"/>
      <c r="JWQ51" s="45"/>
      <c r="JWR51" s="45"/>
      <c r="JWS51" s="45"/>
      <c r="JWT51" s="45"/>
      <c r="JWU51" s="45"/>
      <c r="JWV51" s="45"/>
      <c r="JWW51" s="45"/>
      <c r="JWX51" s="45"/>
      <c r="JWY51" s="45"/>
      <c r="JWZ51" s="45"/>
      <c r="JXA51" s="45"/>
      <c r="JXB51" s="45"/>
      <c r="JXC51" s="45"/>
      <c r="JXD51" s="45"/>
      <c r="JXE51" s="45"/>
      <c r="JXF51" s="45"/>
      <c r="JXG51" s="45"/>
      <c r="JXH51" s="45"/>
      <c r="JXI51" s="45"/>
      <c r="JXJ51" s="45"/>
      <c r="JXK51" s="45"/>
      <c r="JXL51" s="45"/>
      <c r="JXM51" s="45"/>
      <c r="JXN51" s="45"/>
      <c r="JXO51" s="45"/>
      <c r="JXP51" s="45"/>
      <c r="JXQ51" s="45"/>
      <c r="JXR51" s="45"/>
      <c r="JXS51" s="45"/>
      <c r="JXT51" s="45"/>
      <c r="JXU51" s="45"/>
      <c r="JXV51" s="45"/>
      <c r="JXW51" s="45"/>
      <c r="JXX51" s="45"/>
      <c r="JXY51" s="45"/>
      <c r="JXZ51" s="45"/>
      <c r="JYA51" s="45"/>
      <c r="JYB51" s="45"/>
      <c r="JYC51" s="45"/>
      <c r="JYD51" s="45"/>
      <c r="JYE51" s="45"/>
      <c r="JYF51" s="45"/>
      <c r="JYG51" s="45"/>
      <c r="JYH51" s="45"/>
      <c r="JYI51" s="45"/>
      <c r="JYJ51" s="45"/>
      <c r="JYK51" s="45"/>
      <c r="JYL51" s="45"/>
      <c r="JYM51" s="45"/>
      <c r="JYN51" s="45"/>
      <c r="JYO51" s="45"/>
      <c r="JYP51" s="45"/>
      <c r="JYQ51" s="45"/>
      <c r="JYR51" s="45"/>
      <c r="JYS51" s="45"/>
      <c r="JYT51" s="45"/>
      <c r="JYU51" s="45"/>
      <c r="JYV51" s="45"/>
      <c r="JYW51" s="45"/>
      <c r="JYX51" s="45"/>
      <c r="JYY51" s="45"/>
      <c r="JYZ51" s="45"/>
      <c r="JZA51" s="45"/>
      <c r="JZB51" s="45"/>
      <c r="JZC51" s="45"/>
      <c r="JZD51" s="45"/>
      <c r="JZE51" s="45"/>
      <c r="JZF51" s="45"/>
      <c r="JZG51" s="45"/>
      <c r="JZH51" s="45"/>
      <c r="JZI51" s="45"/>
      <c r="JZJ51" s="45"/>
      <c r="JZK51" s="45"/>
      <c r="JZL51" s="45"/>
      <c r="JZM51" s="45"/>
      <c r="JZN51" s="45"/>
      <c r="JZO51" s="45"/>
      <c r="JZP51" s="45"/>
      <c r="JZQ51" s="45"/>
      <c r="JZR51" s="45"/>
      <c r="JZS51" s="45"/>
      <c r="JZT51" s="45"/>
      <c r="JZU51" s="45"/>
      <c r="JZV51" s="45"/>
      <c r="JZW51" s="45"/>
      <c r="JZX51" s="45"/>
      <c r="JZY51" s="45"/>
      <c r="JZZ51" s="45"/>
      <c r="KAA51" s="45"/>
      <c r="KAB51" s="45"/>
      <c r="KAC51" s="45"/>
      <c r="KAD51" s="45"/>
      <c r="KAE51" s="45"/>
      <c r="KAF51" s="45"/>
      <c r="KAG51" s="45"/>
      <c r="KAH51" s="45"/>
      <c r="KAI51" s="45"/>
      <c r="KAJ51" s="45"/>
      <c r="KAK51" s="45"/>
      <c r="KAL51" s="45"/>
      <c r="KAM51" s="45"/>
      <c r="KAN51" s="45"/>
      <c r="KAO51" s="45"/>
      <c r="KAP51" s="45"/>
      <c r="KAQ51" s="45"/>
      <c r="KAR51" s="45"/>
      <c r="KAS51" s="45"/>
      <c r="KAT51" s="45"/>
      <c r="KAU51" s="45"/>
      <c r="KAV51" s="45"/>
      <c r="KAW51" s="45"/>
      <c r="KAX51" s="45"/>
      <c r="KAY51" s="45"/>
      <c r="KAZ51" s="45"/>
      <c r="KBA51" s="45"/>
      <c r="KBB51" s="45"/>
      <c r="KBC51" s="45"/>
      <c r="KBD51" s="45"/>
      <c r="KBE51" s="45"/>
      <c r="KBF51" s="45"/>
      <c r="KBG51" s="45"/>
      <c r="KBH51" s="45"/>
      <c r="KBI51" s="45"/>
      <c r="KBJ51" s="45"/>
      <c r="KBK51" s="45"/>
      <c r="KBL51" s="45"/>
      <c r="KBM51" s="45"/>
      <c r="KBN51" s="45"/>
      <c r="KBO51" s="45"/>
      <c r="KBP51" s="45"/>
      <c r="KBQ51" s="45"/>
      <c r="KBR51" s="45"/>
      <c r="KBS51" s="45"/>
      <c r="KBT51" s="45"/>
      <c r="KBU51" s="45"/>
      <c r="KBV51" s="45"/>
      <c r="KBW51" s="45"/>
      <c r="KBX51" s="45"/>
      <c r="KBY51" s="45"/>
      <c r="KBZ51" s="45"/>
      <c r="KCA51" s="45"/>
      <c r="KCB51" s="45"/>
      <c r="KCC51" s="45"/>
      <c r="KCD51" s="45"/>
      <c r="KCE51" s="45"/>
      <c r="KCF51" s="45"/>
      <c r="KCG51" s="45"/>
      <c r="KCH51" s="45"/>
      <c r="KCI51" s="45"/>
      <c r="KCJ51" s="45"/>
      <c r="KCK51" s="45"/>
      <c r="KCL51" s="45"/>
      <c r="KCM51" s="45"/>
      <c r="KCN51" s="45"/>
      <c r="KCO51" s="45"/>
      <c r="KCP51" s="45"/>
      <c r="KCQ51" s="45"/>
      <c r="KCR51" s="45"/>
      <c r="KCS51" s="45"/>
      <c r="KCT51" s="45"/>
      <c r="KCU51" s="45"/>
      <c r="KCV51" s="45"/>
      <c r="KCW51" s="45"/>
      <c r="KCX51" s="45"/>
      <c r="KCY51" s="45"/>
      <c r="KCZ51" s="45"/>
      <c r="KDA51" s="45"/>
      <c r="KDB51" s="45"/>
      <c r="KDC51" s="45"/>
      <c r="KDD51" s="45"/>
      <c r="KDE51" s="45"/>
      <c r="KDF51" s="45"/>
      <c r="KDG51" s="45"/>
      <c r="KDH51" s="45"/>
      <c r="KDI51" s="45"/>
      <c r="KDJ51" s="45"/>
      <c r="KDK51" s="45"/>
      <c r="KDL51" s="45"/>
      <c r="KDM51" s="45"/>
      <c r="KDN51" s="45"/>
      <c r="KDO51" s="45"/>
      <c r="KDP51" s="45"/>
      <c r="KDQ51" s="45"/>
      <c r="KDR51" s="45"/>
      <c r="KDS51" s="45"/>
      <c r="KDT51" s="45"/>
      <c r="KDU51" s="45"/>
      <c r="KDV51" s="45"/>
      <c r="KDW51" s="45"/>
      <c r="KDX51" s="45"/>
      <c r="KDY51" s="45"/>
      <c r="KDZ51" s="45"/>
      <c r="KEA51" s="45"/>
      <c r="KEB51" s="45"/>
      <c r="KEC51" s="45"/>
      <c r="KED51" s="45"/>
      <c r="KEE51" s="45"/>
      <c r="KEF51" s="45"/>
      <c r="KEG51" s="45"/>
      <c r="KEH51" s="45"/>
      <c r="KEI51" s="45"/>
      <c r="KEJ51" s="45"/>
      <c r="KEK51" s="45"/>
      <c r="KEL51" s="45"/>
      <c r="KEM51" s="45"/>
      <c r="KEN51" s="45"/>
      <c r="KEO51" s="45"/>
      <c r="KEP51" s="45"/>
      <c r="KEQ51" s="45"/>
      <c r="KER51" s="45"/>
      <c r="KES51" s="45"/>
      <c r="KET51" s="45"/>
      <c r="KEU51" s="45"/>
      <c r="KEV51" s="45"/>
      <c r="KEW51" s="45"/>
      <c r="KEX51" s="45"/>
      <c r="KEY51" s="45"/>
      <c r="KEZ51" s="45"/>
      <c r="KFA51" s="45"/>
      <c r="KFB51" s="45"/>
      <c r="KFC51" s="45"/>
      <c r="KFD51" s="45"/>
      <c r="KFE51" s="45"/>
      <c r="KFF51" s="45"/>
      <c r="KFG51" s="45"/>
      <c r="KFH51" s="45"/>
      <c r="KFI51" s="45"/>
      <c r="KFJ51" s="45"/>
      <c r="KFK51" s="45"/>
      <c r="KFL51" s="45"/>
      <c r="KFM51" s="45"/>
      <c r="KFN51" s="45"/>
      <c r="KFO51" s="45"/>
      <c r="KFP51" s="45"/>
      <c r="KFQ51" s="45"/>
      <c r="KFR51" s="45"/>
      <c r="KFS51" s="45"/>
      <c r="KFT51" s="45"/>
      <c r="KFU51" s="45"/>
      <c r="KFV51" s="45"/>
      <c r="KFW51" s="45"/>
      <c r="KFX51" s="45"/>
      <c r="KFY51" s="45"/>
      <c r="KFZ51" s="45"/>
      <c r="KGA51" s="45"/>
      <c r="KGB51" s="45"/>
      <c r="KGC51" s="45"/>
      <c r="KGD51" s="45"/>
      <c r="KGE51" s="45"/>
      <c r="KGF51" s="45"/>
      <c r="KGG51" s="45"/>
      <c r="KGH51" s="45"/>
      <c r="KGI51" s="45"/>
      <c r="KGJ51" s="45"/>
      <c r="KGK51" s="45"/>
      <c r="KGL51" s="45"/>
      <c r="KGM51" s="45"/>
      <c r="KGN51" s="45"/>
      <c r="KGO51" s="45"/>
      <c r="KGP51" s="45"/>
      <c r="KGQ51" s="45"/>
      <c r="KGR51" s="45"/>
      <c r="KGS51" s="45"/>
      <c r="KGT51" s="45"/>
      <c r="KGU51" s="45"/>
      <c r="KGV51" s="45"/>
      <c r="KGW51" s="45"/>
      <c r="KGX51" s="45"/>
      <c r="KGY51" s="45"/>
      <c r="KGZ51" s="45"/>
      <c r="KHA51" s="45"/>
      <c r="KHB51" s="45"/>
      <c r="KHC51" s="45"/>
      <c r="KHD51" s="45"/>
      <c r="KHE51" s="45"/>
      <c r="KHF51" s="45"/>
      <c r="KHG51" s="45"/>
      <c r="KHH51" s="45"/>
      <c r="KHI51" s="45"/>
      <c r="KHJ51" s="45"/>
      <c r="KHK51" s="45"/>
      <c r="KHL51" s="45"/>
      <c r="KHM51" s="45"/>
      <c r="KHN51" s="45"/>
      <c r="KHO51" s="45"/>
      <c r="KHP51" s="45"/>
      <c r="KHQ51" s="45"/>
      <c r="KHR51" s="45"/>
      <c r="KHS51" s="45"/>
      <c r="KHT51" s="45"/>
      <c r="KHU51" s="45"/>
      <c r="KHV51" s="45"/>
      <c r="KHW51" s="45"/>
      <c r="KHX51" s="45"/>
      <c r="KHY51" s="45"/>
      <c r="KHZ51" s="45"/>
      <c r="KIA51" s="45"/>
      <c r="KIB51" s="45"/>
      <c r="KIC51" s="45"/>
      <c r="KID51" s="45"/>
      <c r="KIE51" s="45"/>
      <c r="KIF51" s="45"/>
      <c r="KIG51" s="45"/>
      <c r="KIH51" s="45"/>
      <c r="KII51" s="45"/>
      <c r="KIJ51" s="45"/>
      <c r="KIK51" s="45"/>
      <c r="KIL51" s="45"/>
      <c r="KIM51" s="45"/>
      <c r="KIN51" s="45"/>
      <c r="KIO51" s="45"/>
      <c r="KIP51" s="45"/>
      <c r="KIQ51" s="45"/>
      <c r="KIR51" s="45"/>
      <c r="KIS51" s="45"/>
      <c r="KIT51" s="45"/>
      <c r="KIU51" s="45"/>
      <c r="KIV51" s="45"/>
      <c r="KIW51" s="45"/>
      <c r="KIX51" s="45"/>
      <c r="KIY51" s="45"/>
      <c r="KIZ51" s="45"/>
      <c r="KJA51" s="45"/>
      <c r="KJB51" s="45"/>
      <c r="KJC51" s="45"/>
      <c r="KJD51" s="45"/>
      <c r="KJE51" s="45"/>
      <c r="KJF51" s="45"/>
      <c r="KJG51" s="45"/>
      <c r="KJH51" s="45"/>
      <c r="KJI51" s="45"/>
      <c r="KJJ51" s="45"/>
      <c r="KJK51" s="45"/>
      <c r="KJL51" s="45"/>
      <c r="KJM51" s="45"/>
      <c r="KJN51" s="45"/>
      <c r="KJO51" s="45"/>
      <c r="KJP51" s="45"/>
      <c r="KJQ51" s="45"/>
      <c r="KJR51" s="45"/>
      <c r="KJS51" s="45"/>
      <c r="KJT51" s="45"/>
      <c r="KJU51" s="45"/>
      <c r="KJV51" s="45"/>
      <c r="KJW51" s="45"/>
      <c r="KJX51" s="45"/>
      <c r="KJY51" s="45"/>
      <c r="KJZ51" s="45"/>
      <c r="KKA51" s="45"/>
      <c r="KKB51" s="45"/>
      <c r="KKC51" s="45"/>
      <c r="KKD51" s="45"/>
      <c r="KKE51" s="45"/>
      <c r="KKF51" s="45"/>
      <c r="KKG51" s="45"/>
      <c r="KKH51" s="45"/>
      <c r="KKI51" s="45"/>
      <c r="KKJ51" s="45"/>
      <c r="KKK51" s="45"/>
      <c r="KKL51" s="45"/>
      <c r="KKM51" s="45"/>
      <c r="KKN51" s="45"/>
      <c r="KKO51" s="45"/>
      <c r="KKP51" s="45"/>
      <c r="KKQ51" s="45"/>
      <c r="KKR51" s="45"/>
      <c r="KKS51" s="45"/>
      <c r="KKT51" s="45"/>
      <c r="KKU51" s="45"/>
      <c r="KKV51" s="45"/>
      <c r="KKW51" s="45"/>
      <c r="KKX51" s="45"/>
      <c r="KKY51" s="45"/>
      <c r="KKZ51" s="45"/>
      <c r="KLA51" s="45"/>
      <c r="KLB51" s="45"/>
      <c r="KLC51" s="45"/>
      <c r="KLD51" s="45"/>
      <c r="KLE51" s="45"/>
      <c r="KLF51" s="45"/>
      <c r="KLG51" s="45"/>
      <c r="KLH51" s="45"/>
      <c r="KLI51" s="45"/>
      <c r="KLJ51" s="45"/>
      <c r="KLK51" s="45"/>
      <c r="KLL51" s="45"/>
      <c r="KLM51" s="45"/>
      <c r="KLN51" s="45"/>
      <c r="KLO51" s="45"/>
      <c r="KLP51" s="45"/>
      <c r="KLQ51" s="45"/>
      <c r="KLR51" s="45"/>
      <c r="KLS51" s="45"/>
      <c r="KLT51" s="45"/>
      <c r="KLU51" s="45"/>
      <c r="KLV51" s="45"/>
      <c r="KLW51" s="45"/>
      <c r="KLX51" s="45"/>
      <c r="KLY51" s="45"/>
      <c r="KLZ51" s="45"/>
      <c r="KMA51" s="45"/>
      <c r="KMB51" s="45"/>
      <c r="KMC51" s="45"/>
      <c r="KMD51" s="45"/>
      <c r="KME51" s="45"/>
      <c r="KMF51" s="45"/>
      <c r="KMG51" s="45"/>
      <c r="KMH51" s="45"/>
      <c r="KMI51" s="45"/>
      <c r="KMJ51" s="45"/>
      <c r="KMK51" s="45"/>
      <c r="KML51" s="45"/>
      <c r="KMM51" s="45"/>
      <c r="KMN51" s="45"/>
      <c r="KMO51" s="45"/>
      <c r="KMP51" s="45"/>
      <c r="KMQ51" s="45"/>
      <c r="KMR51" s="45"/>
      <c r="KMS51" s="45"/>
      <c r="KMT51" s="45"/>
      <c r="KMU51" s="45"/>
      <c r="KMV51" s="45"/>
      <c r="KMW51" s="45"/>
      <c r="KMX51" s="45"/>
      <c r="KMY51" s="45"/>
      <c r="KMZ51" s="45"/>
      <c r="KNA51" s="45"/>
      <c r="KNB51" s="45"/>
      <c r="KNC51" s="45"/>
      <c r="KND51" s="45"/>
      <c r="KNE51" s="45"/>
      <c r="KNF51" s="45"/>
      <c r="KNG51" s="45"/>
      <c r="KNH51" s="45"/>
      <c r="KNI51" s="45"/>
      <c r="KNJ51" s="45"/>
      <c r="KNK51" s="45"/>
      <c r="KNL51" s="45"/>
      <c r="KNM51" s="45"/>
      <c r="KNN51" s="45"/>
      <c r="KNO51" s="45"/>
      <c r="KNP51" s="45"/>
      <c r="KNQ51" s="45"/>
      <c r="KNR51" s="45"/>
      <c r="KNS51" s="45"/>
      <c r="KNT51" s="45"/>
      <c r="KNU51" s="45"/>
      <c r="KNV51" s="45"/>
      <c r="KNW51" s="45"/>
      <c r="KNX51" s="45"/>
      <c r="KNY51" s="45"/>
      <c r="KNZ51" s="45"/>
      <c r="KOA51" s="45"/>
      <c r="KOB51" s="45"/>
      <c r="KOC51" s="45"/>
      <c r="KOD51" s="45"/>
      <c r="KOE51" s="45"/>
      <c r="KOF51" s="45"/>
      <c r="KOG51" s="45"/>
      <c r="KOH51" s="45"/>
      <c r="KOI51" s="45"/>
      <c r="KOJ51" s="45"/>
      <c r="KOK51" s="45"/>
      <c r="KOL51" s="45"/>
      <c r="KOM51" s="45"/>
      <c r="KON51" s="45"/>
      <c r="KOO51" s="45"/>
      <c r="KOP51" s="45"/>
      <c r="KOQ51" s="45"/>
      <c r="KOR51" s="45"/>
      <c r="KOS51" s="45"/>
      <c r="KOT51" s="45"/>
      <c r="KOU51" s="45"/>
      <c r="KOV51" s="45"/>
      <c r="KOW51" s="45"/>
      <c r="KOX51" s="45"/>
      <c r="KOY51" s="45"/>
      <c r="KOZ51" s="45"/>
      <c r="KPA51" s="45"/>
      <c r="KPB51" s="45"/>
      <c r="KPC51" s="45"/>
      <c r="KPD51" s="45"/>
      <c r="KPE51" s="45"/>
      <c r="KPF51" s="45"/>
      <c r="KPG51" s="45"/>
      <c r="KPH51" s="45"/>
      <c r="KPI51" s="45"/>
      <c r="KPJ51" s="45"/>
      <c r="KPK51" s="45"/>
      <c r="KPL51" s="45"/>
      <c r="KPM51" s="45"/>
      <c r="KPN51" s="45"/>
      <c r="KPO51" s="45"/>
      <c r="KPP51" s="45"/>
      <c r="KPQ51" s="45"/>
      <c r="KPR51" s="45"/>
      <c r="KPS51" s="45"/>
      <c r="KPT51" s="45"/>
      <c r="KPU51" s="45"/>
      <c r="KPV51" s="45"/>
      <c r="KPW51" s="45"/>
      <c r="KPX51" s="45"/>
      <c r="KPY51" s="45"/>
      <c r="KPZ51" s="45"/>
      <c r="KQA51" s="45"/>
      <c r="KQB51" s="45"/>
      <c r="KQC51" s="45"/>
      <c r="KQD51" s="45"/>
      <c r="KQE51" s="45"/>
      <c r="KQF51" s="45"/>
      <c r="KQG51" s="45"/>
      <c r="KQH51" s="45"/>
      <c r="KQI51" s="45"/>
      <c r="KQJ51" s="45"/>
      <c r="KQK51" s="45"/>
      <c r="KQL51" s="45"/>
      <c r="KQM51" s="45"/>
      <c r="KQN51" s="45"/>
      <c r="KQO51" s="45"/>
      <c r="KQP51" s="45"/>
      <c r="KQQ51" s="45"/>
      <c r="KQR51" s="45"/>
      <c r="KQS51" s="45"/>
      <c r="KQT51" s="45"/>
      <c r="KQU51" s="45"/>
      <c r="KQV51" s="45"/>
      <c r="KQW51" s="45"/>
      <c r="KQX51" s="45"/>
      <c r="KQY51" s="45"/>
      <c r="KQZ51" s="45"/>
      <c r="KRA51" s="45"/>
      <c r="KRB51" s="45"/>
      <c r="KRC51" s="45"/>
      <c r="KRD51" s="45"/>
      <c r="KRE51" s="45"/>
      <c r="KRF51" s="45"/>
      <c r="KRG51" s="45"/>
      <c r="KRH51" s="45"/>
      <c r="KRI51" s="45"/>
      <c r="KRJ51" s="45"/>
      <c r="KRK51" s="45"/>
      <c r="KRL51" s="45"/>
      <c r="KRM51" s="45"/>
      <c r="KRN51" s="45"/>
      <c r="KRO51" s="45"/>
      <c r="KRP51" s="45"/>
      <c r="KRQ51" s="45"/>
      <c r="KRR51" s="45"/>
      <c r="KRS51" s="45"/>
      <c r="KRT51" s="45"/>
      <c r="KRU51" s="45"/>
      <c r="KRV51" s="45"/>
      <c r="KRW51" s="45"/>
      <c r="KRX51" s="45"/>
      <c r="KRY51" s="45"/>
      <c r="KRZ51" s="45"/>
      <c r="KSA51" s="45"/>
      <c r="KSB51" s="45"/>
      <c r="KSC51" s="45"/>
      <c r="KSD51" s="45"/>
      <c r="KSE51" s="45"/>
      <c r="KSF51" s="45"/>
      <c r="KSG51" s="45"/>
      <c r="KSH51" s="45"/>
      <c r="KSI51" s="45"/>
      <c r="KSJ51" s="45"/>
      <c r="KSK51" s="45"/>
      <c r="KSL51" s="45"/>
      <c r="KSM51" s="45"/>
      <c r="KSN51" s="45"/>
      <c r="KSO51" s="45"/>
      <c r="KSP51" s="45"/>
      <c r="KSQ51" s="45"/>
      <c r="KSR51" s="45"/>
      <c r="KSS51" s="45"/>
      <c r="KST51" s="45"/>
      <c r="KSU51" s="45"/>
      <c r="KSV51" s="45"/>
      <c r="KSW51" s="45"/>
      <c r="KSX51" s="45"/>
      <c r="KSY51" s="45"/>
      <c r="KSZ51" s="45"/>
      <c r="KTA51" s="45"/>
      <c r="KTB51" s="45"/>
      <c r="KTC51" s="45"/>
      <c r="KTD51" s="45"/>
      <c r="KTE51" s="45"/>
      <c r="KTF51" s="45"/>
      <c r="KTG51" s="45"/>
      <c r="KTH51" s="45"/>
      <c r="KTI51" s="45"/>
      <c r="KTJ51" s="45"/>
      <c r="KTK51" s="45"/>
      <c r="KTL51" s="45"/>
      <c r="KTM51" s="45"/>
      <c r="KTN51" s="45"/>
      <c r="KTO51" s="45"/>
      <c r="KTP51" s="45"/>
      <c r="KTQ51" s="45"/>
      <c r="KTR51" s="45"/>
      <c r="KTS51" s="45"/>
      <c r="KTT51" s="45"/>
      <c r="KTU51" s="45"/>
      <c r="KTV51" s="45"/>
      <c r="KTW51" s="45"/>
      <c r="KTX51" s="45"/>
      <c r="KTY51" s="45"/>
      <c r="KTZ51" s="45"/>
      <c r="KUA51" s="45"/>
      <c r="KUB51" s="45"/>
      <c r="KUC51" s="45"/>
      <c r="KUD51" s="45"/>
      <c r="KUE51" s="45"/>
      <c r="KUF51" s="45"/>
      <c r="KUG51" s="45"/>
      <c r="KUH51" s="45"/>
      <c r="KUI51" s="45"/>
      <c r="KUJ51" s="45"/>
      <c r="KUK51" s="45"/>
      <c r="KUL51" s="45"/>
      <c r="KUM51" s="45"/>
      <c r="KUN51" s="45"/>
      <c r="KUO51" s="45"/>
      <c r="KUP51" s="45"/>
      <c r="KUQ51" s="45"/>
      <c r="KUR51" s="45"/>
      <c r="KUS51" s="45"/>
      <c r="KUT51" s="45"/>
      <c r="KUU51" s="45"/>
      <c r="KUV51" s="45"/>
      <c r="KUW51" s="45"/>
      <c r="KUX51" s="45"/>
      <c r="KUY51" s="45"/>
      <c r="KUZ51" s="45"/>
      <c r="KVA51" s="45"/>
      <c r="KVB51" s="45"/>
      <c r="KVC51" s="45"/>
      <c r="KVD51" s="45"/>
      <c r="KVE51" s="45"/>
      <c r="KVF51" s="45"/>
      <c r="KVG51" s="45"/>
      <c r="KVH51" s="45"/>
      <c r="KVI51" s="45"/>
      <c r="KVJ51" s="45"/>
      <c r="KVK51" s="45"/>
      <c r="KVL51" s="45"/>
      <c r="KVM51" s="45"/>
      <c r="KVN51" s="45"/>
      <c r="KVO51" s="45"/>
      <c r="KVP51" s="45"/>
      <c r="KVQ51" s="45"/>
      <c r="KVR51" s="45"/>
      <c r="KVS51" s="45"/>
      <c r="KVT51" s="45"/>
      <c r="KVU51" s="45"/>
      <c r="KVV51" s="45"/>
      <c r="KVW51" s="45"/>
      <c r="KVX51" s="45"/>
      <c r="KVY51" s="45"/>
      <c r="KVZ51" s="45"/>
      <c r="KWA51" s="45"/>
      <c r="KWB51" s="45"/>
      <c r="KWC51" s="45"/>
      <c r="KWD51" s="45"/>
      <c r="KWE51" s="45"/>
      <c r="KWF51" s="45"/>
      <c r="KWG51" s="45"/>
      <c r="KWH51" s="45"/>
      <c r="KWI51" s="45"/>
      <c r="KWJ51" s="45"/>
      <c r="KWK51" s="45"/>
      <c r="KWL51" s="45"/>
      <c r="KWM51" s="45"/>
      <c r="KWN51" s="45"/>
      <c r="KWO51" s="45"/>
      <c r="KWP51" s="45"/>
      <c r="KWQ51" s="45"/>
      <c r="KWR51" s="45"/>
      <c r="KWS51" s="45"/>
      <c r="KWT51" s="45"/>
      <c r="KWU51" s="45"/>
      <c r="KWV51" s="45"/>
      <c r="KWW51" s="45"/>
      <c r="KWX51" s="45"/>
      <c r="KWY51" s="45"/>
      <c r="KWZ51" s="45"/>
      <c r="KXA51" s="45"/>
      <c r="KXB51" s="45"/>
      <c r="KXC51" s="45"/>
      <c r="KXD51" s="45"/>
      <c r="KXE51" s="45"/>
      <c r="KXF51" s="45"/>
      <c r="KXG51" s="45"/>
      <c r="KXH51" s="45"/>
      <c r="KXI51" s="45"/>
      <c r="KXJ51" s="45"/>
      <c r="KXK51" s="45"/>
      <c r="KXL51" s="45"/>
      <c r="KXM51" s="45"/>
      <c r="KXN51" s="45"/>
      <c r="KXO51" s="45"/>
      <c r="KXP51" s="45"/>
      <c r="KXQ51" s="45"/>
      <c r="KXR51" s="45"/>
      <c r="KXS51" s="45"/>
      <c r="KXT51" s="45"/>
      <c r="KXU51" s="45"/>
      <c r="KXV51" s="45"/>
      <c r="KXW51" s="45"/>
      <c r="KXX51" s="45"/>
      <c r="KXY51" s="45"/>
      <c r="KXZ51" s="45"/>
      <c r="KYA51" s="45"/>
      <c r="KYB51" s="45"/>
      <c r="KYC51" s="45"/>
      <c r="KYD51" s="45"/>
      <c r="KYE51" s="45"/>
      <c r="KYF51" s="45"/>
      <c r="KYG51" s="45"/>
      <c r="KYH51" s="45"/>
      <c r="KYI51" s="45"/>
      <c r="KYJ51" s="45"/>
      <c r="KYK51" s="45"/>
      <c r="KYL51" s="45"/>
      <c r="KYM51" s="45"/>
      <c r="KYN51" s="45"/>
      <c r="KYO51" s="45"/>
      <c r="KYP51" s="45"/>
      <c r="KYQ51" s="45"/>
      <c r="KYR51" s="45"/>
      <c r="KYS51" s="45"/>
      <c r="KYT51" s="45"/>
      <c r="KYU51" s="45"/>
      <c r="KYV51" s="45"/>
      <c r="KYW51" s="45"/>
      <c r="KYX51" s="45"/>
      <c r="KYY51" s="45"/>
      <c r="KYZ51" s="45"/>
      <c r="KZA51" s="45"/>
      <c r="KZB51" s="45"/>
      <c r="KZC51" s="45"/>
      <c r="KZD51" s="45"/>
      <c r="KZE51" s="45"/>
      <c r="KZF51" s="45"/>
      <c r="KZG51" s="45"/>
      <c r="KZH51" s="45"/>
      <c r="KZI51" s="45"/>
      <c r="KZJ51" s="45"/>
      <c r="KZK51" s="45"/>
      <c r="KZL51" s="45"/>
      <c r="KZM51" s="45"/>
      <c r="KZN51" s="45"/>
      <c r="KZO51" s="45"/>
      <c r="KZP51" s="45"/>
      <c r="KZQ51" s="45"/>
      <c r="KZR51" s="45"/>
      <c r="KZS51" s="45"/>
      <c r="KZT51" s="45"/>
      <c r="KZU51" s="45"/>
      <c r="KZV51" s="45"/>
      <c r="KZW51" s="45"/>
      <c r="KZX51" s="45"/>
      <c r="KZY51" s="45"/>
      <c r="KZZ51" s="45"/>
      <c r="LAA51" s="45"/>
      <c r="LAB51" s="45"/>
      <c r="LAC51" s="45"/>
      <c r="LAD51" s="45"/>
      <c r="LAE51" s="45"/>
      <c r="LAF51" s="45"/>
      <c r="LAG51" s="45"/>
      <c r="LAH51" s="45"/>
      <c r="LAI51" s="45"/>
      <c r="LAJ51" s="45"/>
      <c r="LAK51" s="45"/>
      <c r="LAL51" s="45"/>
      <c r="LAM51" s="45"/>
      <c r="LAN51" s="45"/>
      <c r="LAO51" s="45"/>
      <c r="LAP51" s="45"/>
      <c r="LAQ51" s="45"/>
      <c r="LAR51" s="45"/>
      <c r="LAS51" s="45"/>
      <c r="LAT51" s="45"/>
      <c r="LAU51" s="45"/>
      <c r="LAV51" s="45"/>
      <c r="LAW51" s="45"/>
      <c r="LAX51" s="45"/>
      <c r="LAY51" s="45"/>
      <c r="LAZ51" s="45"/>
      <c r="LBA51" s="45"/>
      <c r="LBB51" s="45"/>
      <c r="LBC51" s="45"/>
      <c r="LBD51" s="45"/>
      <c r="LBE51" s="45"/>
      <c r="LBF51" s="45"/>
      <c r="LBG51" s="45"/>
      <c r="LBH51" s="45"/>
      <c r="LBI51" s="45"/>
      <c r="LBJ51" s="45"/>
      <c r="LBK51" s="45"/>
      <c r="LBL51" s="45"/>
      <c r="LBM51" s="45"/>
      <c r="LBN51" s="45"/>
      <c r="LBO51" s="45"/>
      <c r="LBP51" s="45"/>
      <c r="LBQ51" s="45"/>
      <c r="LBR51" s="45"/>
      <c r="LBS51" s="45"/>
      <c r="LBT51" s="45"/>
      <c r="LBU51" s="45"/>
      <c r="LBV51" s="45"/>
      <c r="LBW51" s="45"/>
      <c r="LBX51" s="45"/>
      <c r="LBY51" s="45"/>
      <c r="LBZ51" s="45"/>
      <c r="LCA51" s="45"/>
      <c r="LCB51" s="45"/>
      <c r="LCC51" s="45"/>
      <c r="LCD51" s="45"/>
      <c r="LCE51" s="45"/>
      <c r="LCF51" s="45"/>
      <c r="LCG51" s="45"/>
      <c r="LCH51" s="45"/>
      <c r="LCI51" s="45"/>
      <c r="LCJ51" s="45"/>
      <c r="LCK51" s="45"/>
      <c r="LCL51" s="45"/>
      <c r="LCM51" s="45"/>
      <c r="LCN51" s="45"/>
      <c r="LCO51" s="45"/>
      <c r="LCP51" s="45"/>
      <c r="LCQ51" s="45"/>
      <c r="LCR51" s="45"/>
      <c r="LCS51" s="45"/>
      <c r="LCT51" s="45"/>
      <c r="LCU51" s="45"/>
      <c r="LCV51" s="45"/>
      <c r="LCW51" s="45"/>
      <c r="LCX51" s="45"/>
      <c r="LCY51" s="45"/>
      <c r="LCZ51" s="45"/>
      <c r="LDA51" s="45"/>
      <c r="LDB51" s="45"/>
      <c r="LDC51" s="45"/>
      <c r="LDD51" s="45"/>
      <c r="LDE51" s="45"/>
      <c r="LDF51" s="45"/>
      <c r="LDG51" s="45"/>
      <c r="LDH51" s="45"/>
      <c r="LDI51" s="45"/>
      <c r="LDJ51" s="45"/>
      <c r="LDK51" s="45"/>
      <c r="LDL51" s="45"/>
      <c r="LDM51" s="45"/>
      <c r="LDN51" s="45"/>
      <c r="LDO51" s="45"/>
      <c r="LDP51" s="45"/>
      <c r="LDQ51" s="45"/>
      <c r="LDR51" s="45"/>
      <c r="LDS51" s="45"/>
      <c r="LDT51" s="45"/>
      <c r="LDU51" s="45"/>
      <c r="LDV51" s="45"/>
      <c r="LDW51" s="45"/>
      <c r="LDX51" s="45"/>
      <c r="LDY51" s="45"/>
      <c r="LDZ51" s="45"/>
      <c r="LEA51" s="45"/>
      <c r="LEB51" s="45"/>
      <c r="LEC51" s="45"/>
      <c r="LED51" s="45"/>
      <c r="LEE51" s="45"/>
      <c r="LEF51" s="45"/>
      <c r="LEG51" s="45"/>
      <c r="LEH51" s="45"/>
      <c r="LEI51" s="45"/>
      <c r="LEJ51" s="45"/>
      <c r="LEK51" s="45"/>
      <c r="LEL51" s="45"/>
      <c r="LEM51" s="45"/>
      <c r="LEN51" s="45"/>
      <c r="LEO51" s="45"/>
      <c r="LEP51" s="45"/>
      <c r="LEQ51" s="45"/>
      <c r="LER51" s="45"/>
      <c r="LES51" s="45"/>
      <c r="LET51" s="45"/>
      <c r="LEU51" s="45"/>
      <c r="LEV51" s="45"/>
      <c r="LEW51" s="45"/>
      <c r="LEX51" s="45"/>
      <c r="LEY51" s="45"/>
      <c r="LEZ51" s="45"/>
      <c r="LFA51" s="45"/>
      <c r="LFB51" s="45"/>
      <c r="LFC51" s="45"/>
      <c r="LFD51" s="45"/>
      <c r="LFE51" s="45"/>
      <c r="LFF51" s="45"/>
      <c r="LFG51" s="45"/>
      <c r="LFH51" s="45"/>
      <c r="LFI51" s="45"/>
      <c r="LFJ51" s="45"/>
      <c r="LFK51" s="45"/>
      <c r="LFL51" s="45"/>
      <c r="LFM51" s="45"/>
      <c r="LFN51" s="45"/>
      <c r="LFO51" s="45"/>
      <c r="LFP51" s="45"/>
      <c r="LFQ51" s="45"/>
      <c r="LFR51" s="45"/>
      <c r="LFS51" s="45"/>
      <c r="LFT51" s="45"/>
      <c r="LFU51" s="45"/>
      <c r="LFV51" s="45"/>
      <c r="LFW51" s="45"/>
      <c r="LFX51" s="45"/>
      <c r="LFY51" s="45"/>
      <c r="LFZ51" s="45"/>
      <c r="LGA51" s="45"/>
      <c r="LGB51" s="45"/>
      <c r="LGC51" s="45"/>
      <c r="LGD51" s="45"/>
      <c r="LGE51" s="45"/>
      <c r="LGF51" s="45"/>
      <c r="LGG51" s="45"/>
      <c r="LGH51" s="45"/>
      <c r="LGI51" s="45"/>
      <c r="LGJ51" s="45"/>
      <c r="LGK51" s="45"/>
      <c r="LGL51" s="45"/>
      <c r="LGM51" s="45"/>
      <c r="LGN51" s="45"/>
      <c r="LGO51" s="45"/>
      <c r="LGP51" s="45"/>
      <c r="LGQ51" s="45"/>
      <c r="LGR51" s="45"/>
      <c r="LGS51" s="45"/>
      <c r="LGT51" s="45"/>
      <c r="LGU51" s="45"/>
      <c r="LGV51" s="45"/>
      <c r="LGW51" s="45"/>
      <c r="LGX51" s="45"/>
      <c r="LGY51" s="45"/>
      <c r="LGZ51" s="45"/>
      <c r="LHA51" s="45"/>
      <c r="LHB51" s="45"/>
      <c r="LHC51" s="45"/>
      <c r="LHD51" s="45"/>
      <c r="LHE51" s="45"/>
      <c r="LHF51" s="45"/>
      <c r="LHG51" s="45"/>
      <c r="LHH51" s="45"/>
      <c r="LHI51" s="45"/>
      <c r="LHJ51" s="45"/>
      <c r="LHK51" s="45"/>
      <c r="LHL51" s="45"/>
      <c r="LHM51" s="45"/>
      <c r="LHN51" s="45"/>
      <c r="LHO51" s="45"/>
      <c r="LHP51" s="45"/>
      <c r="LHQ51" s="45"/>
      <c r="LHR51" s="45"/>
      <c r="LHS51" s="45"/>
      <c r="LHT51" s="45"/>
      <c r="LHU51" s="45"/>
      <c r="LHV51" s="45"/>
      <c r="LHW51" s="45"/>
      <c r="LHX51" s="45"/>
      <c r="LHY51" s="45"/>
      <c r="LHZ51" s="45"/>
      <c r="LIA51" s="45"/>
      <c r="LIB51" s="45"/>
      <c r="LIC51" s="45"/>
      <c r="LID51" s="45"/>
      <c r="LIE51" s="45"/>
      <c r="LIF51" s="45"/>
      <c r="LIG51" s="45"/>
      <c r="LIH51" s="45"/>
      <c r="LII51" s="45"/>
      <c r="LIJ51" s="45"/>
      <c r="LIK51" s="45"/>
      <c r="LIL51" s="45"/>
      <c r="LIM51" s="45"/>
      <c r="LIN51" s="45"/>
      <c r="LIO51" s="45"/>
      <c r="LIP51" s="45"/>
      <c r="LIQ51" s="45"/>
      <c r="LIR51" s="45"/>
      <c r="LIS51" s="45"/>
      <c r="LIT51" s="45"/>
      <c r="LIU51" s="45"/>
      <c r="LIV51" s="45"/>
      <c r="LIW51" s="45"/>
      <c r="LIX51" s="45"/>
      <c r="LIY51" s="45"/>
      <c r="LIZ51" s="45"/>
      <c r="LJA51" s="45"/>
      <c r="LJB51" s="45"/>
      <c r="LJC51" s="45"/>
      <c r="LJD51" s="45"/>
      <c r="LJE51" s="45"/>
      <c r="LJF51" s="45"/>
      <c r="LJG51" s="45"/>
      <c r="LJH51" s="45"/>
      <c r="LJI51" s="45"/>
      <c r="LJJ51" s="45"/>
      <c r="LJK51" s="45"/>
      <c r="LJL51" s="45"/>
      <c r="LJM51" s="45"/>
      <c r="LJN51" s="45"/>
      <c r="LJO51" s="45"/>
      <c r="LJP51" s="45"/>
      <c r="LJQ51" s="45"/>
      <c r="LJR51" s="45"/>
      <c r="LJS51" s="45"/>
      <c r="LJT51" s="45"/>
      <c r="LJU51" s="45"/>
      <c r="LJV51" s="45"/>
      <c r="LJW51" s="45"/>
      <c r="LJX51" s="45"/>
      <c r="LJY51" s="45"/>
      <c r="LJZ51" s="45"/>
      <c r="LKA51" s="45"/>
      <c r="LKB51" s="45"/>
      <c r="LKC51" s="45"/>
      <c r="LKD51" s="45"/>
      <c r="LKE51" s="45"/>
      <c r="LKF51" s="45"/>
      <c r="LKG51" s="45"/>
      <c r="LKH51" s="45"/>
      <c r="LKI51" s="45"/>
      <c r="LKJ51" s="45"/>
      <c r="LKK51" s="45"/>
      <c r="LKL51" s="45"/>
      <c r="LKM51" s="45"/>
      <c r="LKN51" s="45"/>
      <c r="LKO51" s="45"/>
      <c r="LKP51" s="45"/>
      <c r="LKQ51" s="45"/>
      <c r="LKR51" s="45"/>
      <c r="LKS51" s="45"/>
      <c r="LKT51" s="45"/>
      <c r="LKU51" s="45"/>
      <c r="LKV51" s="45"/>
      <c r="LKW51" s="45"/>
      <c r="LKX51" s="45"/>
      <c r="LKY51" s="45"/>
      <c r="LKZ51" s="45"/>
      <c r="LLA51" s="45"/>
      <c r="LLB51" s="45"/>
      <c r="LLC51" s="45"/>
      <c r="LLD51" s="45"/>
      <c r="LLE51" s="45"/>
      <c r="LLF51" s="45"/>
      <c r="LLG51" s="45"/>
      <c r="LLH51" s="45"/>
      <c r="LLI51" s="45"/>
      <c r="LLJ51" s="45"/>
      <c r="LLK51" s="45"/>
      <c r="LLL51" s="45"/>
      <c r="LLM51" s="45"/>
      <c r="LLN51" s="45"/>
      <c r="LLO51" s="45"/>
      <c r="LLP51" s="45"/>
      <c r="LLQ51" s="45"/>
      <c r="LLR51" s="45"/>
      <c r="LLS51" s="45"/>
      <c r="LLT51" s="45"/>
      <c r="LLU51" s="45"/>
      <c r="LLV51" s="45"/>
      <c r="LLW51" s="45"/>
      <c r="LLX51" s="45"/>
      <c r="LLY51" s="45"/>
      <c r="LLZ51" s="45"/>
      <c r="LMA51" s="45"/>
      <c r="LMB51" s="45"/>
      <c r="LMC51" s="45"/>
      <c r="LMD51" s="45"/>
      <c r="LME51" s="45"/>
      <c r="LMF51" s="45"/>
      <c r="LMG51" s="45"/>
      <c r="LMH51" s="45"/>
      <c r="LMI51" s="45"/>
      <c r="LMJ51" s="45"/>
      <c r="LMK51" s="45"/>
      <c r="LML51" s="45"/>
      <c r="LMM51" s="45"/>
      <c r="LMN51" s="45"/>
      <c r="LMO51" s="45"/>
      <c r="LMP51" s="45"/>
      <c r="LMQ51" s="45"/>
      <c r="LMR51" s="45"/>
      <c r="LMS51" s="45"/>
      <c r="LMT51" s="45"/>
      <c r="LMU51" s="45"/>
      <c r="LMV51" s="45"/>
      <c r="LMW51" s="45"/>
      <c r="LMX51" s="45"/>
      <c r="LMY51" s="45"/>
      <c r="LMZ51" s="45"/>
      <c r="LNA51" s="45"/>
      <c r="LNB51" s="45"/>
      <c r="LNC51" s="45"/>
      <c r="LND51" s="45"/>
      <c r="LNE51" s="45"/>
      <c r="LNF51" s="45"/>
      <c r="LNG51" s="45"/>
      <c r="LNH51" s="45"/>
      <c r="LNI51" s="45"/>
      <c r="LNJ51" s="45"/>
      <c r="LNK51" s="45"/>
      <c r="LNL51" s="45"/>
      <c r="LNM51" s="45"/>
      <c r="LNN51" s="45"/>
      <c r="LNO51" s="45"/>
      <c r="LNP51" s="45"/>
      <c r="LNQ51" s="45"/>
      <c r="LNR51" s="45"/>
      <c r="LNS51" s="45"/>
      <c r="LNT51" s="45"/>
      <c r="LNU51" s="45"/>
      <c r="LNV51" s="45"/>
      <c r="LNW51" s="45"/>
      <c r="LNX51" s="45"/>
      <c r="LNY51" s="45"/>
      <c r="LNZ51" s="45"/>
      <c r="LOA51" s="45"/>
      <c r="LOB51" s="45"/>
      <c r="LOC51" s="45"/>
      <c r="LOD51" s="45"/>
      <c r="LOE51" s="45"/>
      <c r="LOF51" s="45"/>
      <c r="LOG51" s="45"/>
      <c r="LOH51" s="45"/>
      <c r="LOI51" s="45"/>
      <c r="LOJ51" s="45"/>
      <c r="LOK51" s="45"/>
      <c r="LOL51" s="45"/>
      <c r="LOM51" s="45"/>
      <c r="LON51" s="45"/>
      <c r="LOO51" s="45"/>
      <c r="LOP51" s="45"/>
      <c r="LOQ51" s="45"/>
      <c r="LOR51" s="45"/>
      <c r="LOS51" s="45"/>
      <c r="LOT51" s="45"/>
      <c r="LOU51" s="45"/>
      <c r="LOV51" s="45"/>
      <c r="LOW51" s="45"/>
      <c r="LOX51" s="45"/>
      <c r="LOY51" s="45"/>
      <c r="LOZ51" s="45"/>
      <c r="LPA51" s="45"/>
      <c r="LPB51" s="45"/>
      <c r="LPC51" s="45"/>
      <c r="LPD51" s="45"/>
      <c r="LPE51" s="45"/>
      <c r="LPF51" s="45"/>
      <c r="LPG51" s="45"/>
      <c r="LPH51" s="45"/>
      <c r="LPI51" s="45"/>
      <c r="LPJ51" s="45"/>
      <c r="LPK51" s="45"/>
      <c r="LPL51" s="45"/>
      <c r="LPM51" s="45"/>
      <c r="LPN51" s="45"/>
      <c r="LPO51" s="45"/>
      <c r="LPP51" s="45"/>
      <c r="LPQ51" s="45"/>
      <c r="LPR51" s="45"/>
      <c r="LPS51" s="45"/>
      <c r="LPT51" s="45"/>
      <c r="LPU51" s="45"/>
      <c r="LPV51" s="45"/>
      <c r="LPW51" s="45"/>
      <c r="LPX51" s="45"/>
      <c r="LPY51" s="45"/>
      <c r="LPZ51" s="45"/>
      <c r="LQA51" s="45"/>
      <c r="LQB51" s="45"/>
      <c r="LQC51" s="45"/>
      <c r="LQD51" s="45"/>
      <c r="LQE51" s="45"/>
      <c r="LQF51" s="45"/>
      <c r="LQG51" s="45"/>
      <c r="LQH51" s="45"/>
      <c r="LQI51" s="45"/>
      <c r="LQJ51" s="45"/>
      <c r="LQK51" s="45"/>
      <c r="LQL51" s="45"/>
      <c r="LQM51" s="45"/>
      <c r="LQN51" s="45"/>
      <c r="LQO51" s="45"/>
      <c r="LQP51" s="45"/>
      <c r="LQQ51" s="45"/>
      <c r="LQR51" s="45"/>
      <c r="LQS51" s="45"/>
      <c r="LQT51" s="45"/>
      <c r="LQU51" s="45"/>
      <c r="LQV51" s="45"/>
      <c r="LQW51" s="45"/>
      <c r="LQX51" s="45"/>
      <c r="LQY51" s="45"/>
      <c r="LQZ51" s="45"/>
      <c r="LRA51" s="45"/>
      <c r="LRB51" s="45"/>
      <c r="LRC51" s="45"/>
      <c r="LRD51" s="45"/>
      <c r="LRE51" s="45"/>
      <c r="LRF51" s="45"/>
      <c r="LRG51" s="45"/>
      <c r="LRH51" s="45"/>
      <c r="LRI51" s="45"/>
      <c r="LRJ51" s="45"/>
      <c r="LRK51" s="45"/>
      <c r="LRL51" s="45"/>
      <c r="LRM51" s="45"/>
      <c r="LRN51" s="45"/>
      <c r="LRO51" s="45"/>
      <c r="LRP51" s="45"/>
      <c r="LRQ51" s="45"/>
      <c r="LRR51" s="45"/>
      <c r="LRS51" s="45"/>
      <c r="LRT51" s="45"/>
      <c r="LRU51" s="45"/>
      <c r="LRV51" s="45"/>
      <c r="LRW51" s="45"/>
      <c r="LRX51" s="45"/>
      <c r="LRY51" s="45"/>
      <c r="LRZ51" s="45"/>
      <c r="LSA51" s="45"/>
      <c r="LSB51" s="45"/>
      <c r="LSC51" s="45"/>
      <c r="LSD51" s="45"/>
      <c r="LSE51" s="45"/>
      <c r="LSF51" s="45"/>
      <c r="LSG51" s="45"/>
      <c r="LSH51" s="45"/>
      <c r="LSI51" s="45"/>
      <c r="LSJ51" s="45"/>
      <c r="LSK51" s="45"/>
      <c r="LSL51" s="45"/>
      <c r="LSM51" s="45"/>
      <c r="LSN51" s="45"/>
      <c r="LSO51" s="45"/>
      <c r="LSP51" s="45"/>
      <c r="LSQ51" s="45"/>
      <c r="LSR51" s="45"/>
      <c r="LSS51" s="45"/>
      <c r="LST51" s="45"/>
      <c r="LSU51" s="45"/>
      <c r="LSV51" s="45"/>
      <c r="LSW51" s="45"/>
      <c r="LSX51" s="45"/>
      <c r="LSY51" s="45"/>
      <c r="LSZ51" s="45"/>
      <c r="LTA51" s="45"/>
      <c r="LTB51" s="45"/>
      <c r="LTC51" s="45"/>
      <c r="LTD51" s="45"/>
      <c r="LTE51" s="45"/>
      <c r="LTF51" s="45"/>
      <c r="LTG51" s="45"/>
      <c r="LTH51" s="45"/>
      <c r="LTI51" s="45"/>
      <c r="LTJ51" s="45"/>
      <c r="LTK51" s="45"/>
      <c r="LTL51" s="45"/>
      <c r="LTM51" s="45"/>
      <c r="LTN51" s="45"/>
      <c r="LTO51" s="45"/>
      <c r="LTP51" s="45"/>
      <c r="LTQ51" s="45"/>
      <c r="LTR51" s="45"/>
      <c r="LTS51" s="45"/>
      <c r="LTT51" s="45"/>
      <c r="LTU51" s="45"/>
      <c r="LTV51" s="45"/>
      <c r="LTW51" s="45"/>
      <c r="LTX51" s="45"/>
      <c r="LTY51" s="45"/>
      <c r="LTZ51" s="45"/>
      <c r="LUA51" s="45"/>
      <c r="LUB51" s="45"/>
      <c r="LUC51" s="45"/>
      <c r="LUD51" s="45"/>
      <c r="LUE51" s="45"/>
      <c r="LUF51" s="45"/>
      <c r="LUG51" s="45"/>
      <c r="LUH51" s="45"/>
      <c r="LUI51" s="45"/>
      <c r="LUJ51" s="45"/>
      <c r="LUK51" s="45"/>
      <c r="LUL51" s="45"/>
      <c r="LUM51" s="45"/>
      <c r="LUN51" s="45"/>
      <c r="LUO51" s="45"/>
      <c r="LUP51" s="45"/>
      <c r="LUQ51" s="45"/>
      <c r="LUR51" s="45"/>
      <c r="LUS51" s="45"/>
      <c r="LUT51" s="45"/>
      <c r="LUU51" s="45"/>
      <c r="LUV51" s="45"/>
      <c r="LUW51" s="45"/>
      <c r="LUX51" s="45"/>
      <c r="LUY51" s="45"/>
      <c r="LUZ51" s="45"/>
      <c r="LVA51" s="45"/>
      <c r="LVB51" s="45"/>
      <c r="LVC51" s="45"/>
      <c r="LVD51" s="45"/>
      <c r="LVE51" s="45"/>
      <c r="LVF51" s="45"/>
      <c r="LVG51" s="45"/>
      <c r="LVH51" s="45"/>
      <c r="LVI51" s="45"/>
      <c r="LVJ51" s="45"/>
      <c r="LVK51" s="45"/>
      <c r="LVL51" s="45"/>
      <c r="LVM51" s="45"/>
      <c r="LVN51" s="45"/>
      <c r="LVO51" s="45"/>
      <c r="LVP51" s="45"/>
      <c r="LVQ51" s="45"/>
      <c r="LVR51" s="45"/>
      <c r="LVS51" s="45"/>
      <c r="LVT51" s="45"/>
      <c r="LVU51" s="45"/>
      <c r="LVV51" s="45"/>
      <c r="LVW51" s="45"/>
      <c r="LVX51" s="45"/>
      <c r="LVY51" s="45"/>
      <c r="LVZ51" s="45"/>
      <c r="LWA51" s="45"/>
      <c r="LWB51" s="45"/>
      <c r="LWC51" s="45"/>
      <c r="LWD51" s="45"/>
      <c r="LWE51" s="45"/>
      <c r="LWF51" s="45"/>
      <c r="LWG51" s="45"/>
      <c r="LWH51" s="45"/>
      <c r="LWI51" s="45"/>
      <c r="LWJ51" s="45"/>
      <c r="LWK51" s="45"/>
      <c r="LWL51" s="45"/>
      <c r="LWM51" s="45"/>
      <c r="LWN51" s="45"/>
      <c r="LWO51" s="45"/>
      <c r="LWP51" s="45"/>
      <c r="LWQ51" s="45"/>
      <c r="LWR51" s="45"/>
      <c r="LWS51" s="45"/>
      <c r="LWT51" s="45"/>
      <c r="LWU51" s="45"/>
      <c r="LWV51" s="45"/>
      <c r="LWW51" s="45"/>
      <c r="LWX51" s="45"/>
      <c r="LWY51" s="45"/>
      <c r="LWZ51" s="45"/>
      <c r="LXA51" s="45"/>
      <c r="LXB51" s="45"/>
      <c r="LXC51" s="45"/>
      <c r="LXD51" s="45"/>
      <c r="LXE51" s="45"/>
      <c r="LXF51" s="45"/>
      <c r="LXG51" s="45"/>
      <c r="LXH51" s="45"/>
      <c r="LXI51" s="45"/>
      <c r="LXJ51" s="45"/>
      <c r="LXK51" s="45"/>
      <c r="LXL51" s="45"/>
      <c r="LXM51" s="45"/>
      <c r="LXN51" s="45"/>
      <c r="LXO51" s="45"/>
      <c r="LXP51" s="45"/>
      <c r="LXQ51" s="45"/>
      <c r="LXR51" s="45"/>
      <c r="LXS51" s="45"/>
      <c r="LXT51" s="45"/>
      <c r="LXU51" s="45"/>
      <c r="LXV51" s="45"/>
      <c r="LXW51" s="45"/>
      <c r="LXX51" s="45"/>
      <c r="LXY51" s="45"/>
      <c r="LXZ51" s="45"/>
      <c r="LYA51" s="45"/>
      <c r="LYB51" s="45"/>
      <c r="LYC51" s="45"/>
      <c r="LYD51" s="45"/>
      <c r="LYE51" s="45"/>
      <c r="LYF51" s="45"/>
      <c r="LYG51" s="45"/>
      <c r="LYH51" s="45"/>
      <c r="LYI51" s="45"/>
      <c r="LYJ51" s="45"/>
      <c r="LYK51" s="45"/>
      <c r="LYL51" s="45"/>
      <c r="LYM51" s="45"/>
      <c r="LYN51" s="45"/>
      <c r="LYO51" s="45"/>
      <c r="LYP51" s="45"/>
      <c r="LYQ51" s="45"/>
      <c r="LYR51" s="45"/>
      <c r="LYS51" s="45"/>
      <c r="LYT51" s="45"/>
      <c r="LYU51" s="45"/>
      <c r="LYV51" s="45"/>
      <c r="LYW51" s="45"/>
      <c r="LYX51" s="45"/>
      <c r="LYY51" s="45"/>
      <c r="LYZ51" s="45"/>
      <c r="LZA51" s="45"/>
      <c r="LZB51" s="45"/>
      <c r="LZC51" s="45"/>
      <c r="LZD51" s="45"/>
      <c r="LZE51" s="45"/>
      <c r="LZF51" s="45"/>
      <c r="LZG51" s="45"/>
      <c r="LZH51" s="45"/>
      <c r="LZI51" s="45"/>
      <c r="LZJ51" s="45"/>
      <c r="LZK51" s="45"/>
      <c r="LZL51" s="45"/>
      <c r="LZM51" s="45"/>
      <c r="LZN51" s="45"/>
      <c r="LZO51" s="45"/>
      <c r="LZP51" s="45"/>
      <c r="LZQ51" s="45"/>
      <c r="LZR51" s="45"/>
      <c r="LZS51" s="45"/>
      <c r="LZT51" s="45"/>
      <c r="LZU51" s="45"/>
      <c r="LZV51" s="45"/>
      <c r="LZW51" s="45"/>
      <c r="LZX51" s="45"/>
      <c r="LZY51" s="45"/>
      <c r="LZZ51" s="45"/>
      <c r="MAA51" s="45"/>
      <c r="MAB51" s="45"/>
      <c r="MAC51" s="45"/>
      <c r="MAD51" s="45"/>
      <c r="MAE51" s="45"/>
      <c r="MAF51" s="45"/>
      <c r="MAG51" s="45"/>
      <c r="MAH51" s="45"/>
      <c r="MAI51" s="45"/>
      <c r="MAJ51" s="45"/>
      <c r="MAK51" s="45"/>
      <c r="MAL51" s="45"/>
      <c r="MAM51" s="45"/>
      <c r="MAN51" s="45"/>
      <c r="MAO51" s="45"/>
      <c r="MAP51" s="45"/>
      <c r="MAQ51" s="45"/>
      <c r="MAR51" s="45"/>
      <c r="MAS51" s="45"/>
      <c r="MAT51" s="45"/>
      <c r="MAU51" s="45"/>
      <c r="MAV51" s="45"/>
      <c r="MAW51" s="45"/>
      <c r="MAX51" s="45"/>
      <c r="MAY51" s="45"/>
      <c r="MAZ51" s="45"/>
      <c r="MBA51" s="45"/>
      <c r="MBB51" s="45"/>
      <c r="MBC51" s="45"/>
      <c r="MBD51" s="45"/>
      <c r="MBE51" s="45"/>
      <c r="MBF51" s="45"/>
      <c r="MBG51" s="45"/>
      <c r="MBH51" s="45"/>
      <c r="MBI51" s="45"/>
      <c r="MBJ51" s="45"/>
      <c r="MBK51" s="45"/>
      <c r="MBL51" s="45"/>
      <c r="MBM51" s="45"/>
      <c r="MBN51" s="45"/>
      <c r="MBO51" s="45"/>
      <c r="MBP51" s="45"/>
      <c r="MBQ51" s="45"/>
      <c r="MBR51" s="45"/>
      <c r="MBS51" s="45"/>
      <c r="MBT51" s="45"/>
      <c r="MBU51" s="45"/>
      <c r="MBV51" s="45"/>
      <c r="MBW51" s="45"/>
      <c r="MBX51" s="45"/>
      <c r="MBY51" s="45"/>
      <c r="MBZ51" s="45"/>
      <c r="MCA51" s="45"/>
      <c r="MCB51" s="45"/>
      <c r="MCC51" s="45"/>
      <c r="MCD51" s="45"/>
      <c r="MCE51" s="45"/>
      <c r="MCF51" s="45"/>
      <c r="MCG51" s="45"/>
      <c r="MCH51" s="45"/>
      <c r="MCI51" s="45"/>
      <c r="MCJ51" s="45"/>
      <c r="MCK51" s="45"/>
      <c r="MCL51" s="45"/>
      <c r="MCM51" s="45"/>
      <c r="MCN51" s="45"/>
      <c r="MCO51" s="45"/>
      <c r="MCP51" s="45"/>
      <c r="MCQ51" s="45"/>
      <c r="MCR51" s="45"/>
      <c r="MCS51" s="45"/>
      <c r="MCT51" s="45"/>
      <c r="MCU51" s="45"/>
      <c r="MCV51" s="45"/>
      <c r="MCW51" s="45"/>
      <c r="MCX51" s="45"/>
      <c r="MCY51" s="45"/>
      <c r="MCZ51" s="45"/>
      <c r="MDA51" s="45"/>
      <c r="MDB51" s="45"/>
      <c r="MDC51" s="45"/>
      <c r="MDD51" s="45"/>
      <c r="MDE51" s="45"/>
      <c r="MDF51" s="45"/>
      <c r="MDG51" s="45"/>
      <c r="MDH51" s="45"/>
      <c r="MDI51" s="45"/>
      <c r="MDJ51" s="45"/>
      <c r="MDK51" s="45"/>
      <c r="MDL51" s="45"/>
      <c r="MDM51" s="45"/>
      <c r="MDN51" s="45"/>
      <c r="MDO51" s="45"/>
      <c r="MDP51" s="45"/>
      <c r="MDQ51" s="45"/>
      <c r="MDR51" s="45"/>
      <c r="MDS51" s="45"/>
      <c r="MDT51" s="45"/>
      <c r="MDU51" s="45"/>
      <c r="MDV51" s="45"/>
      <c r="MDW51" s="45"/>
      <c r="MDX51" s="45"/>
      <c r="MDY51" s="45"/>
      <c r="MDZ51" s="45"/>
      <c r="MEA51" s="45"/>
      <c r="MEB51" s="45"/>
      <c r="MEC51" s="45"/>
      <c r="MED51" s="45"/>
      <c r="MEE51" s="45"/>
      <c r="MEF51" s="45"/>
      <c r="MEG51" s="45"/>
      <c r="MEH51" s="45"/>
      <c r="MEI51" s="45"/>
      <c r="MEJ51" s="45"/>
      <c r="MEK51" s="45"/>
      <c r="MEL51" s="45"/>
      <c r="MEM51" s="45"/>
      <c r="MEN51" s="45"/>
      <c r="MEO51" s="45"/>
      <c r="MEP51" s="45"/>
      <c r="MEQ51" s="45"/>
      <c r="MER51" s="45"/>
      <c r="MES51" s="45"/>
      <c r="MET51" s="45"/>
      <c r="MEU51" s="45"/>
      <c r="MEV51" s="45"/>
      <c r="MEW51" s="45"/>
      <c r="MEX51" s="45"/>
      <c r="MEY51" s="45"/>
      <c r="MEZ51" s="45"/>
      <c r="MFA51" s="45"/>
      <c r="MFB51" s="45"/>
      <c r="MFC51" s="45"/>
      <c r="MFD51" s="45"/>
      <c r="MFE51" s="45"/>
      <c r="MFF51" s="45"/>
      <c r="MFG51" s="45"/>
      <c r="MFH51" s="45"/>
      <c r="MFI51" s="45"/>
      <c r="MFJ51" s="45"/>
      <c r="MFK51" s="45"/>
      <c r="MFL51" s="45"/>
      <c r="MFM51" s="45"/>
      <c r="MFN51" s="45"/>
      <c r="MFO51" s="45"/>
      <c r="MFP51" s="45"/>
      <c r="MFQ51" s="45"/>
      <c r="MFR51" s="45"/>
      <c r="MFS51" s="45"/>
      <c r="MFT51" s="45"/>
      <c r="MFU51" s="45"/>
      <c r="MFV51" s="45"/>
      <c r="MFW51" s="45"/>
      <c r="MFX51" s="45"/>
      <c r="MFY51" s="45"/>
      <c r="MFZ51" s="45"/>
      <c r="MGA51" s="45"/>
      <c r="MGB51" s="45"/>
      <c r="MGC51" s="45"/>
      <c r="MGD51" s="45"/>
      <c r="MGE51" s="45"/>
      <c r="MGF51" s="45"/>
      <c r="MGG51" s="45"/>
      <c r="MGH51" s="45"/>
      <c r="MGI51" s="45"/>
      <c r="MGJ51" s="45"/>
      <c r="MGK51" s="45"/>
      <c r="MGL51" s="45"/>
      <c r="MGM51" s="45"/>
      <c r="MGN51" s="45"/>
      <c r="MGO51" s="45"/>
      <c r="MGP51" s="45"/>
      <c r="MGQ51" s="45"/>
      <c r="MGR51" s="45"/>
      <c r="MGS51" s="45"/>
      <c r="MGT51" s="45"/>
      <c r="MGU51" s="45"/>
      <c r="MGV51" s="45"/>
      <c r="MGW51" s="45"/>
      <c r="MGX51" s="45"/>
      <c r="MGY51" s="45"/>
      <c r="MGZ51" s="45"/>
      <c r="MHA51" s="45"/>
      <c r="MHB51" s="45"/>
      <c r="MHC51" s="45"/>
      <c r="MHD51" s="45"/>
      <c r="MHE51" s="45"/>
      <c r="MHF51" s="45"/>
      <c r="MHG51" s="45"/>
      <c r="MHH51" s="45"/>
      <c r="MHI51" s="45"/>
      <c r="MHJ51" s="45"/>
      <c r="MHK51" s="45"/>
      <c r="MHL51" s="45"/>
      <c r="MHM51" s="45"/>
      <c r="MHN51" s="45"/>
      <c r="MHO51" s="45"/>
      <c r="MHP51" s="45"/>
      <c r="MHQ51" s="45"/>
      <c r="MHR51" s="45"/>
      <c r="MHS51" s="45"/>
      <c r="MHT51" s="45"/>
      <c r="MHU51" s="45"/>
      <c r="MHV51" s="45"/>
      <c r="MHW51" s="45"/>
      <c r="MHX51" s="45"/>
      <c r="MHY51" s="45"/>
      <c r="MHZ51" s="45"/>
      <c r="MIA51" s="45"/>
      <c r="MIB51" s="45"/>
      <c r="MIC51" s="45"/>
      <c r="MID51" s="45"/>
      <c r="MIE51" s="45"/>
      <c r="MIF51" s="45"/>
      <c r="MIG51" s="45"/>
      <c r="MIH51" s="45"/>
      <c r="MII51" s="45"/>
      <c r="MIJ51" s="45"/>
      <c r="MIK51" s="45"/>
      <c r="MIL51" s="45"/>
      <c r="MIM51" s="45"/>
      <c r="MIN51" s="45"/>
      <c r="MIO51" s="45"/>
      <c r="MIP51" s="45"/>
      <c r="MIQ51" s="45"/>
      <c r="MIR51" s="45"/>
      <c r="MIS51" s="45"/>
      <c r="MIT51" s="45"/>
      <c r="MIU51" s="45"/>
      <c r="MIV51" s="45"/>
      <c r="MIW51" s="45"/>
      <c r="MIX51" s="45"/>
      <c r="MIY51" s="45"/>
      <c r="MIZ51" s="45"/>
      <c r="MJA51" s="45"/>
      <c r="MJB51" s="45"/>
      <c r="MJC51" s="45"/>
      <c r="MJD51" s="45"/>
      <c r="MJE51" s="45"/>
      <c r="MJF51" s="45"/>
      <c r="MJG51" s="45"/>
      <c r="MJH51" s="45"/>
      <c r="MJI51" s="45"/>
      <c r="MJJ51" s="45"/>
      <c r="MJK51" s="45"/>
      <c r="MJL51" s="45"/>
      <c r="MJM51" s="45"/>
      <c r="MJN51" s="45"/>
      <c r="MJO51" s="45"/>
      <c r="MJP51" s="45"/>
      <c r="MJQ51" s="45"/>
      <c r="MJR51" s="45"/>
      <c r="MJS51" s="45"/>
      <c r="MJT51" s="45"/>
      <c r="MJU51" s="45"/>
      <c r="MJV51" s="45"/>
      <c r="MJW51" s="45"/>
      <c r="MJX51" s="45"/>
      <c r="MJY51" s="45"/>
      <c r="MJZ51" s="45"/>
      <c r="MKA51" s="45"/>
      <c r="MKB51" s="45"/>
      <c r="MKC51" s="45"/>
      <c r="MKD51" s="45"/>
      <c r="MKE51" s="45"/>
      <c r="MKF51" s="45"/>
      <c r="MKG51" s="45"/>
      <c r="MKH51" s="45"/>
      <c r="MKI51" s="45"/>
      <c r="MKJ51" s="45"/>
      <c r="MKK51" s="45"/>
      <c r="MKL51" s="45"/>
      <c r="MKM51" s="45"/>
      <c r="MKN51" s="45"/>
      <c r="MKO51" s="45"/>
      <c r="MKP51" s="45"/>
      <c r="MKQ51" s="45"/>
      <c r="MKR51" s="45"/>
      <c r="MKS51" s="45"/>
      <c r="MKT51" s="45"/>
      <c r="MKU51" s="45"/>
      <c r="MKV51" s="45"/>
      <c r="MKW51" s="45"/>
      <c r="MKX51" s="45"/>
      <c r="MKY51" s="45"/>
      <c r="MKZ51" s="45"/>
      <c r="MLA51" s="45"/>
      <c r="MLB51" s="45"/>
      <c r="MLC51" s="45"/>
      <c r="MLD51" s="45"/>
      <c r="MLE51" s="45"/>
      <c r="MLF51" s="45"/>
      <c r="MLG51" s="45"/>
      <c r="MLH51" s="45"/>
      <c r="MLI51" s="45"/>
      <c r="MLJ51" s="45"/>
      <c r="MLK51" s="45"/>
      <c r="MLL51" s="45"/>
      <c r="MLM51" s="45"/>
      <c r="MLN51" s="45"/>
      <c r="MLO51" s="45"/>
      <c r="MLP51" s="45"/>
      <c r="MLQ51" s="45"/>
      <c r="MLR51" s="45"/>
      <c r="MLS51" s="45"/>
      <c r="MLT51" s="45"/>
      <c r="MLU51" s="45"/>
      <c r="MLV51" s="45"/>
      <c r="MLW51" s="45"/>
      <c r="MLX51" s="45"/>
      <c r="MLY51" s="45"/>
      <c r="MLZ51" s="45"/>
      <c r="MMA51" s="45"/>
      <c r="MMB51" s="45"/>
      <c r="MMC51" s="45"/>
      <c r="MMD51" s="45"/>
      <c r="MME51" s="45"/>
      <c r="MMF51" s="45"/>
      <c r="MMG51" s="45"/>
      <c r="MMH51" s="45"/>
      <c r="MMI51" s="45"/>
      <c r="MMJ51" s="45"/>
      <c r="MMK51" s="45"/>
      <c r="MML51" s="45"/>
      <c r="MMM51" s="45"/>
      <c r="MMN51" s="45"/>
      <c r="MMO51" s="45"/>
      <c r="MMP51" s="45"/>
      <c r="MMQ51" s="45"/>
      <c r="MMR51" s="45"/>
      <c r="MMS51" s="45"/>
      <c r="MMT51" s="45"/>
      <c r="MMU51" s="45"/>
      <c r="MMV51" s="45"/>
      <c r="MMW51" s="45"/>
      <c r="MMX51" s="45"/>
      <c r="MMY51" s="45"/>
      <c r="MMZ51" s="45"/>
      <c r="MNA51" s="45"/>
      <c r="MNB51" s="45"/>
      <c r="MNC51" s="45"/>
      <c r="MND51" s="45"/>
      <c r="MNE51" s="45"/>
      <c r="MNF51" s="45"/>
      <c r="MNG51" s="45"/>
      <c r="MNH51" s="45"/>
      <c r="MNI51" s="45"/>
      <c r="MNJ51" s="45"/>
      <c r="MNK51" s="45"/>
      <c r="MNL51" s="45"/>
      <c r="MNM51" s="45"/>
      <c r="MNN51" s="45"/>
      <c r="MNO51" s="45"/>
      <c r="MNP51" s="45"/>
      <c r="MNQ51" s="45"/>
      <c r="MNR51" s="45"/>
      <c r="MNS51" s="45"/>
      <c r="MNT51" s="45"/>
      <c r="MNU51" s="45"/>
      <c r="MNV51" s="45"/>
      <c r="MNW51" s="45"/>
      <c r="MNX51" s="45"/>
      <c r="MNY51" s="45"/>
      <c r="MNZ51" s="45"/>
      <c r="MOA51" s="45"/>
      <c r="MOB51" s="45"/>
      <c r="MOC51" s="45"/>
      <c r="MOD51" s="45"/>
      <c r="MOE51" s="45"/>
      <c r="MOF51" s="45"/>
      <c r="MOG51" s="45"/>
      <c r="MOH51" s="45"/>
      <c r="MOI51" s="45"/>
      <c r="MOJ51" s="45"/>
      <c r="MOK51" s="45"/>
      <c r="MOL51" s="45"/>
      <c r="MOM51" s="45"/>
      <c r="MON51" s="45"/>
      <c r="MOO51" s="45"/>
      <c r="MOP51" s="45"/>
      <c r="MOQ51" s="45"/>
      <c r="MOR51" s="45"/>
      <c r="MOS51" s="45"/>
      <c r="MOT51" s="45"/>
      <c r="MOU51" s="45"/>
      <c r="MOV51" s="45"/>
      <c r="MOW51" s="45"/>
      <c r="MOX51" s="45"/>
      <c r="MOY51" s="45"/>
      <c r="MOZ51" s="45"/>
      <c r="MPA51" s="45"/>
      <c r="MPB51" s="45"/>
      <c r="MPC51" s="45"/>
      <c r="MPD51" s="45"/>
      <c r="MPE51" s="45"/>
      <c r="MPF51" s="45"/>
      <c r="MPG51" s="45"/>
      <c r="MPH51" s="45"/>
      <c r="MPI51" s="45"/>
      <c r="MPJ51" s="45"/>
      <c r="MPK51" s="45"/>
      <c r="MPL51" s="45"/>
      <c r="MPM51" s="45"/>
      <c r="MPN51" s="45"/>
      <c r="MPO51" s="45"/>
      <c r="MPP51" s="45"/>
      <c r="MPQ51" s="45"/>
      <c r="MPR51" s="45"/>
      <c r="MPS51" s="45"/>
      <c r="MPT51" s="45"/>
      <c r="MPU51" s="45"/>
      <c r="MPV51" s="45"/>
      <c r="MPW51" s="45"/>
      <c r="MPX51" s="45"/>
      <c r="MPY51" s="45"/>
      <c r="MPZ51" s="45"/>
      <c r="MQA51" s="45"/>
      <c r="MQB51" s="45"/>
      <c r="MQC51" s="45"/>
      <c r="MQD51" s="45"/>
      <c r="MQE51" s="45"/>
      <c r="MQF51" s="45"/>
      <c r="MQG51" s="45"/>
      <c r="MQH51" s="45"/>
      <c r="MQI51" s="45"/>
      <c r="MQJ51" s="45"/>
      <c r="MQK51" s="45"/>
      <c r="MQL51" s="45"/>
      <c r="MQM51" s="45"/>
      <c r="MQN51" s="45"/>
      <c r="MQO51" s="45"/>
      <c r="MQP51" s="45"/>
      <c r="MQQ51" s="45"/>
      <c r="MQR51" s="45"/>
      <c r="MQS51" s="45"/>
      <c r="MQT51" s="45"/>
      <c r="MQU51" s="45"/>
      <c r="MQV51" s="45"/>
      <c r="MQW51" s="45"/>
      <c r="MQX51" s="45"/>
      <c r="MQY51" s="45"/>
      <c r="MQZ51" s="45"/>
      <c r="MRA51" s="45"/>
      <c r="MRB51" s="45"/>
      <c r="MRC51" s="45"/>
      <c r="MRD51" s="45"/>
      <c r="MRE51" s="45"/>
      <c r="MRF51" s="45"/>
      <c r="MRG51" s="45"/>
      <c r="MRH51" s="45"/>
      <c r="MRI51" s="45"/>
      <c r="MRJ51" s="45"/>
      <c r="MRK51" s="45"/>
      <c r="MRL51" s="45"/>
      <c r="MRM51" s="45"/>
      <c r="MRN51" s="45"/>
      <c r="MRO51" s="45"/>
      <c r="MRP51" s="45"/>
      <c r="MRQ51" s="45"/>
      <c r="MRR51" s="45"/>
      <c r="MRS51" s="45"/>
      <c r="MRT51" s="45"/>
      <c r="MRU51" s="45"/>
      <c r="MRV51" s="45"/>
      <c r="MRW51" s="45"/>
      <c r="MRX51" s="45"/>
      <c r="MRY51" s="45"/>
      <c r="MRZ51" s="45"/>
      <c r="MSA51" s="45"/>
      <c r="MSB51" s="45"/>
      <c r="MSC51" s="45"/>
      <c r="MSD51" s="45"/>
      <c r="MSE51" s="45"/>
      <c r="MSF51" s="45"/>
      <c r="MSG51" s="45"/>
      <c r="MSH51" s="45"/>
      <c r="MSI51" s="45"/>
      <c r="MSJ51" s="45"/>
      <c r="MSK51" s="45"/>
      <c r="MSL51" s="45"/>
      <c r="MSM51" s="45"/>
      <c r="MSN51" s="45"/>
      <c r="MSO51" s="45"/>
      <c r="MSP51" s="45"/>
      <c r="MSQ51" s="45"/>
      <c r="MSR51" s="45"/>
      <c r="MSS51" s="45"/>
      <c r="MST51" s="45"/>
      <c r="MSU51" s="45"/>
      <c r="MSV51" s="45"/>
      <c r="MSW51" s="45"/>
      <c r="MSX51" s="45"/>
      <c r="MSY51" s="45"/>
      <c r="MSZ51" s="45"/>
      <c r="MTA51" s="45"/>
      <c r="MTB51" s="45"/>
      <c r="MTC51" s="45"/>
      <c r="MTD51" s="45"/>
      <c r="MTE51" s="45"/>
      <c r="MTF51" s="45"/>
      <c r="MTG51" s="45"/>
      <c r="MTH51" s="45"/>
      <c r="MTI51" s="45"/>
      <c r="MTJ51" s="45"/>
      <c r="MTK51" s="45"/>
      <c r="MTL51" s="45"/>
      <c r="MTM51" s="45"/>
      <c r="MTN51" s="45"/>
      <c r="MTO51" s="45"/>
      <c r="MTP51" s="45"/>
      <c r="MTQ51" s="45"/>
      <c r="MTR51" s="45"/>
      <c r="MTS51" s="45"/>
      <c r="MTT51" s="45"/>
      <c r="MTU51" s="45"/>
      <c r="MTV51" s="45"/>
      <c r="MTW51" s="45"/>
      <c r="MTX51" s="45"/>
      <c r="MTY51" s="45"/>
      <c r="MTZ51" s="45"/>
      <c r="MUA51" s="45"/>
      <c r="MUB51" s="45"/>
      <c r="MUC51" s="45"/>
      <c r="MUD51" s="45"/>
      <c r="MUE51" s="45"/>
      <c r="MUF51" s="45"/>
      <c r="MUG51" s="45"/>
      <c r="MUH51" s="45"/>
      <c r="MUI51" s="45"/>
      <c r="MUJ51" s="45"/>
      <c r="MUK51" s="45"/>
      <c r="MUL51" s="45"/>
      <c r="MUM51" s="45"/>
      <c r="MUN51" s="45"/>
      <c r="MUO51" s="45"/>
      <c r="MUP51" s="45"/>
      <c r="MUQ51" s="45"/>
      <c r="MUR51" s="45"/>
      <c r="MUS51" s="45"/>
      <c r="MUT51" s="45"/>
      <c r="MUU51" s="45"/>
      <c r="MUV51" s="45"/>
      <c r="MUW51" s="45"/>
      <c r="MUX51" s="45"/>
      <c r="MUY51" s="45"/>
      <c r="MUZ51" s="45"/>
      <c r="MVA51" s="45"/>
      <c r="MVB51" s="45"/>
      <c r="MVC51" s="45"/>
      <c r="MVD51" s="45"/>
      <c r="MVE51" s="45"/>
      <c r="MVF51" s="45"/>
      <c r="MVG51" s="45"/>
      <c r="MVH51" s="45"/>
      <c r="MVI51" s="45"/>
      <c r="MVJ51" s="45"/>
      <c r="MVK51" s="45"/>
      <c r="MVL51" s="45"/>
      <c r="MVM51" s="45"/>
      <c r="MVN51" s="45"/>
      <c r="MVO51" s="45"/>
      <c r="MVP51" s="45"/>
      <c r="MVQ51" s="45"/>
      <c r="MVR51" s="45"/>
      <c r="MVS51" s="45"/>
      <c r="MVT51" s="45"/>
      <c r="MVU51" s="45"/>
      <c r="MVV51" s="45"/>
      <c r="MVW51" s="45"/>
      <c r="MVX51" s="45"/>
      <c r="MVY51" s="45"/>
      <c r="MVZ51" s="45"/>
      <c r="MWA51" s="45"/>
      <c r="MWB51" s="45"/>
      <c r="MWC51" s="45"/>
      <c r="MWD51" s="45"/>
      <c r="MWE51" s="45"/>
      <c r="MWF51" s="45"/>
      <c r="MWG51" s="45"/>
      <c r="MWH51" s="45"/>
      <c r="MWI51" s="45"/>
      <c r="MWJ51" s="45"/>
      <c r="MWK51" s="45"/>
      <c r="MWL51" s="45"/>
      <c r="MWM51" s="45"/>
      <c r="MWN51" s="45"/>
      <c r="MWO51" s="45"/>
      <c r="MWP51" s="45"/>
      <c r="MWQ51" s="45"/>
      <c r="MWR51" s="45"/>
      <c r="MWS51" s="45"/>
      <c r="MWT51" s="45"/>
      <c r="MWU51" s="45"/>
      <c r="MWV51" s="45"/>
      <c r="MWW51" s="45"/>
      <c r="MWX51" s="45"/>
      <c r="MWY51" s="45"/>
      <c r="MWZ51" s="45"/>
      <c r="MXA51" s="45"/>
      <c r="MXB51" s="45"/>
      <c r="MXC51" s="45"/>
      <c r="MXD51" s="45"/>
      <c r="MXE51" s="45"/>
      <c r="MXF51" s="45"/>
      <c r="MXG51" s="45"/>
      <c r="MXH51" s="45"/>
      <c r="MXI51" s="45"/>
      <c r="MXJ51" s="45"/>
      <c r="MXK51" s="45"/>
      <c r="MXL51" s="45"/>
      <c r="MXM51" s="45"/>
      <c r="MXN51" s="45"/>
      <c r="MXO51" s="45"/>
      <c r="MXP51" s="45"/>
      <c r="MXQ51" s="45"/>
      <c r="MXR51" s="45"/>
      <c r="MXS51" s="45"/>
      <c r="MXT51" s="45"/>
      <c r="MXU51" s="45"/>
      <c r="MXV51" s="45"/>
      <c r="MXW51" s="45"/>
      <c r="MXX51" s="45"/>
      <c r="MXY51" s="45"/>
      <c r="MXZ51" s="45"/>
      <c r="MYA51" s="45"/>
      <c r="MYB51" s="45"/>
      <c r="MYC51" s="45"/>
      <c r="MYD51" s="45"/>
      <c r="MYE51" s="45"/>
      <c r="MYF51" s="45"/>
      <c r="MYG51" s="45"/>
      <c r="MYH51" s="45"/>
      <c r="MYI51" s="45"/>
      <c r="MYJ51" s="45"/>
      <c r="MYK51" s="45"/>
      <c r="MYL51" s="45"/>
      <c r="MYM51" s="45"/>
      <c r="MYN51" s="45"/>
      <c r="MYO51" s="45"/>
      <c r="MYP51" s="45"/>
      <c r="MYQ51" s="45"/>
      <c r="MYR51" s="45"/>
      <c r="MYS51" s="45"/>
      <c r="MYT51" s="45"/>
      <c r="MYU51" s="45"/>
      <c r="MYV51" s="45"/>
      <c r="MYW51" s="45"/>
      <c r="MYX51" s="45"/>
      <c r="MYY51" s="45"/>
      <c r="MYZ51" s="45"/>
      <c r="MZA51" s="45"/>
      <c r="MZB51" s="45"/>
      <c r="MZC51" s="45"/>
      <c r="MZD51" s="45"/>
      <c r="MZE51" s="45"/>
      <c r="MZF51" s="45"/>
      <c r="MZG51" s="45"/>
      <c r="MZH51" s="45"/>
      <c r="MZI51" s="45"/>
      <c r="MZJ51" s="45"/>
      <c r="MZK51" s="45"/>
      <c r="MZL51" s="45"/>
      <c r="MZM51" s="45"/>
      <c r="MZN51" s="45"/>
      <c r="MZO51" s="45"/>
      <c r="MZP51" s="45"/>
      <c r="MZQ51" s="45"/>
      <c r="MZR51" s="45"/>
      <c r="MZS51" s="45"/>
      <c r="MZT51" s="45"/>
      <c r="MZU51" s="45"/>
      <c r="MZV51" s="45"/>
      <c r="MZW51" s="45"/>
      <c r="MZX51" s="45"/>
      <c r="MZY51" s="45"/>
      <c r="MZZ51" s="45"/>
      <c r="NAA51" s="45"/>
      <c r="NAB51" s="45"/>
      <c r="NAC51" s="45"/>
      <c r="NAD51" s="45"/>
      <c r="NAE51" s="45"/>
      <c r="NAF51" s="45"/>
      <c r="NAG51" s="45"/>
      <c r="NAH51" s="45"/>
      <c r="NAI51" s="45"/>
      <c r="NAJ51" s="45"/>
      <c r="NAK51" s="45"/>
      <c r="NAL51" s="45"/>
      <c r="NAM51" s="45"/>
      <c r="NAN51" s="45"/>
      <c r="NAO51" s="45"/>
      <c r="NAP51" s="45"/>
      <c r="NAQ51" s="45"/>
      <c r="NAR51" s="45"/>
      <c r="NAS51" s="45"/>
      <c r="NAT51" s="45"/>
      <c r="NAU51" s="45"/>
      <c r="NAV51" s="45"/>
      <c r="NAW51" s="45"/>
      <c r="NAX51" s="45"/>
      <c r="NAY51" s="45"/>
      <c r="NAZ51" s="45"/>
      <c r="NBA51" s="45"/>
      <c r="NBB51" s="45"/>
      <c r="NBC51" s="45"/>
      <c r="NBD51" s="45"/>
      <c r="NBE51" s="45"/>
      <c r="NBF51" s="45"/>
      <c r="NBG51" s="45"/>
      <c r="NBH51" s="45"/>
      <c r="NBI51" s="45"/>
      <c r="NBJ51" s="45"/>
      <c r="NBK51" s="45"/>
      <c r="NBL51" s="45"/>
      <c r="NBM51" s="45"/>
      <c r="NBN51" s="45"/>
      <c r="NBO51" s="45"/>
      <c r="NBP51" s="45"/>
      <c r="NBQ51" s="45"/>
      <c r="NBR51" s="45"/>
      <c r="NBS51" s="45"/>
      <c r="NBT51" s="45"/>
      <c r="NBU51" s="45"/>
      <c r="NBV51" s="45"/>
      <c r="NBW51" s="45"/>
      <c r="NBX51" s="45"/>
      <c r="NBY51" s="45"/>
      <c r="NBZ51" s="45"/>
      <c r="NCA51" s="45"/>
      <c r="NCB51" s="45"/>
      <c r="NCC51" s="45"/>
      <c r="NCD51" s="45"/>
      <c r="NCE51" s="45"/>
      <c r="NCF51" s="45"/>
      <c r="NCG51" s="45"/>
      <c r="NCH51" s="45"/>
      <c r="NCI51" s="45"/>
      <c r="NCJ51" s="45"/>
      <c r="NCK51" s="45"/>
      <c r="NCL51" s="45"/>
      <c r="NCM51" s="45"/>
      <c r="NCN51" s="45"/>
      <c r="NCO51" s="45"/>
      <c r="NCP51" s="45"/>
      <c r="NCQ51" s="45"/>
      <c r="NCR51" s="45"/>
      <c r="NCS51" s="45"/>
      <c r="NCT51" s="45"/>
      <c r="NCU51" s="45"/>
      <c r="NCV51" s="45"/>
      <c r="NCW51" s="45"/>
      <c r="NCX51" s="45"/>
      <c r="NCY51" s="45"/>
      <c r="NCZ51" s="45"/>
      <c r="NDA51" s="45"/>
      <c r="NDB51" s="45"/>
      <c r="NDC51" s="45"/>
      <c r="NDD51" s="45"/>
      <c r="NDE51" s="45"/>
      <c r="NDF51" s="45"/>
      <c r="NDG51" s="45"/>
      <c r="NDH51" s="45"/>
      <c r="NDI51" s="45"/>
      <c r="NDJ51" s="45"/>
      <c r="NDK51" s="45"/>
      <c r="NDL51" s="45"/>
      <c r="NDM51" s="45"/>
      <c r="NDN51" s="45"/>
      <c r="NDO51" s="45"/>
      <c r="NDP51" s="45"/>
      <c r="NDQ51" s="45"/>
      <c r="NDR51" s="45"/>
      <c r="NDS51" s="45"/>
      <c r="NDT51" s="45"/>
      <c r="NDU51" s="45"/>
      <c r="NDV51" s="45"/>
      <c r="NDW51" s="45"/>
      <c r="NDX51" s="45"/>
      <c r="NDY51" s="45"/>
      <c r="NDZ51" s="45"/>
      <c r="NEA51" s="45"/>
      <c r="NEB51" s="45"/>
      <c r="NEC51" s="45"/>
      <c r="NED51" s="45"/>
      <c r="NEE51" s="45"/>
      <c r="NEF51" s="45"/>
      <c r="NEG51" s="45"/>
      <c r="NEV51" s="45"/>
      <c r="NEW51" s="45"/>
      <c r="NEX51" s="45"/>
      <c r="NEY51" s="45"/>
      <c r="NEZ51" s="45"/>
      <c r="NFA51" s="45"/>
      <c r="NFB51" s="45"/>
      <c r="NFC51" s="45"/>
      <c r="NFD51" s="45"/>
      <c r="NFE51" s="45"/>
      <c r="NFF51" s="45"/>
      <c r="NFG51" s="45"/>
      <c r="NFH51" s="45"/>
      <c r="NFI51" s="45"/>
      <c r="NFJ51" s="45"/>
      <c r="NFK51" s="45"/>
      <c r="NFL51" s="45"/>
      <c r="NFM51" s="45"/>
      <c r="NFN51" s="45"/>
      <c r="NFO51" s="45"/>
      <c r="NFP51" s="45"/>
      <c r="NFQ51" s="45"/>
      <c r="NFR51" s="45"/>
      <c r="NFS51" s="45"/>
      <c r="NFT51" s="45"/>
      <c r="NFU51" s="45"/>
      <c r="NFV51" s="45"/>
      <c r="NFW51" s="45"/>
      <c r="NFX51" s="45"/>
      <c r="NFY51" s="45"/>
      <c r="NFZ51" s="45"/>
      <c r="NGA51" s="45"/>
      <c r="NGB51" s="45"/>
      <c r="NGC51" s="45"/>
      <c r="NGD51" s="45"/>
      <c r="NGE51" s="45"/>
      <c r="NGF51" s="45"/>
      <c r="NGG51" s="45"/>
      <c r="NGH51" s="45"/>
      <c r="NGI51" s="45"/>
      <c r="NGJ51" s="45"/>
      <c r="NGK51" s="45"/>
      <c r="NGL51" s="45"/>
      <c r="NGM51" s="45"/>
      <c r="NGN51" s="45"/>
      <c r="NGO51" s="45"/>
      <c r="NGP51" s="45"/>
      <c r="NGQ51" s="45"/>
      <c r="NGR51" s="45"/>
      <c r="NGS51" s="45"/>
      <c r="NGT51" s="45"/>
      <c r="NGU51" s="45"/>
      <c r="NGV51" s="45"/>
      <c r="NGW51" s="45"/>
      <c r="NGX51" s="45"/>
      <c r="NGY51" s="45"/>
      <c r="NGZ51" s="45"/>
      <c r="NHA51" s="45"/>
      <c r="NHB51" s="45"/>
      <c r="NHC51" s="45"/>
      <c r="NHD51" s="45"/>
      <c r="NHE51" s="45"/>
      <c r="NHF51" s="45"/>
      <c r="NHG51" s="45"/>
      <c r="NHH51" s="45"/>
      <c r="NHI51" s="45"/>
      <c r="NHJ51" s="45"/>
      <c r="NHK51" s="45"/>
      <c r="NHL51" s="45"/>
      <c r="NHM51" s="45"/>
      <c r="NHN51" s="45"/>
      <c r="NHO51" s="45"/>
      <c r="NHP51" s="45"/>
      <c r="NHQ51" s="45"/>
      <c r="NHR51" s="45"/>
      <c r="NHS51" s="45"/>
      <c r="NHT51" s="45"/>
      <c r="NHU51" s="45"/>
      <c r="NHV51" s="45"/>
      <c r="NHW51" s="45"/>
      <c r="NHX51" s="45"/>
      <c r="NHY51" s="45"/>
      <c r="NHZ51" s="45"/>
      <c r="NIA51" s="45"/>
      <c r="NIB51" s="45"/>
      <c r="NIC51" s="45"/>
      <c r="NID51" s="45"/>
      <c r="NIE51" s="45"/>
      <c r="NIF51" s="45"/>
      <c r="NIG51" s="45"/>
      <c r="NIH51" s="45"/>
      <c r="NII51" s="45"/>
      <c r="NIJ51" s="45"/>
      <c r="NIK51" s="45"/>
      <c r="NIL51" s="45"/>
      <c r="NIM51" s="45"/>
      <c r="NIN51" s="45"/>
      <c r="NIO51" s="45"/>
      <c r="NIP51" s="45"/>
      <c r="NIQ51" s="45"/>
      <c r="NIR51" s="45"/>
      <c r="NIS51" s="45"/>
      <c r="NIT51" s="45"/>
      <c r="NIU51" s="45"/>
      <c r="NIV51" s="45"/>
      <c r="NIW51" s="45"/>
      <c r="NIX51" s="45"/>
      <c r="NIY51" s="45"/>
      <c r="NIZ51" s="45"/>
      <c r="NJA51" s="45"/>
      <c r="NJB51" s="45"/>
      <c r="NJC51" s="45"/>
      <c r="NJD51" s="45"/>
      <c r="NJE51" s="45"/>
      <c r="NJF51" s="45"/>
      <c r="NJG51" s="45"/>
      <c r="NJH51" s="45"/>
      <c r="NJI51" s="45"/>
      <c r="NJJ51" s="45"/>
      <c r="NJK51" s="45"/>
      <c r="NJL51" s="45"/>
      <c r="NJM51" s="45"/>
      <c r="NJN51" s="45"/>
      <c r="NJO51" s="45"/>
      <c r="NJP51" s="45"/>
      <c r="NJQ51" s="45"/>
      <c r="NJR51" s="45"/>
      <c r="NJS51" s="45"/>
      <c r="NJT51" s="45"/>
      <c r="NJU51" s="45"/>
      <c r="NJV51" s="45"/>
      <c r="NJW51" s="45"/>
      <c r="NJX51" s="45"/>
      <c r="NJY51" s="45"/>
      <c r="NJZ51" s="45"/>
      <c r="NKA51" s="45"/>
      <c r="NKB51" s="45"/>
      <c r="NKC51" s="45"/>
      <c r="NKD51" s="45"/>
      <c r="NKE51" s="45"/>
      <c r="NKF51" s="45"/>
      <c r="NKG51" s="45"/>
      <c r="NKH51" s="45"/>
      <c r="NKI51" s="45"/>
      <c r="NKJ51" s="45"/>
      <c r="NKK51" s="45"/>
      <c r="NKL51" s="45"/>
      <c r="NKM51" s="45"/>
      <c r="NKN51" s="45"/>
      <c r="NKO51" s="45"/>
      <c r="NKP51" s="45"/>
      <c r="NKQ51" s="45"/>
      <c r="NKR51" s="45"/>
      <c r="NKS51" s="45"/>
      <c r="NKT51" s="45"/>
      <c r="NKU51" s="45"/>
      <c r="NKV51" s="45"/>
      <c r="NKW51" s="45"/>
      <c r="NKX51" s="45"/>
      <c r="NKY51" s="45"/>
      <c r="NKZ51" s="45"/>
      <c r="NLA51" s="45"/>
      <c r="NLB51" s="45"/>
      <c r="NLC51" s="45"/>
      <c r="NLD51" s="45"/>
      <c r="NLE51" s="45"/>
      <c r="NLF51" s="45"/>
      <c r="NLG51" s="45"/>
      <c r="NLH51" s="45"/>
      <c r="NLI51" s="45"/>
      <c r="NLJ51" s="45"/>
      <c r="NLK51" s="45"/>
      <c r="NLL51" s="45"/>
      <c r="NLM51" s="45"/>
      <c r="NLN51" s="45"/>
      <c r="NLO51" s="45"/>
      <c r="NLP51" s="45"/>
      <c r="NLQ51" s="45"/>
      <c r="NLR51" s="45"/>
      <c r="NLS51" s="45"/>
      <c r="NLT51" s="45"/>
      <c r="NLU51" s="45"/>
      <c r="NLV51" s="45"/>
      <c r="NLW51" s="45"/>
      <c r="NLX51" s="45"/>
      <c r="NLY51" s="45"/>
      <c r="NLZ51" s="45"/>
      <c r="NMA51" s="45"/>
      <c r="NMB51" s="45"/>
      <c r="NMC51" s="45"/>
      <c r="NMD51" s="45"/>
      <c r="NME51" s="45"/>
      <c r="NMF51" s="45"/>
      <c r="NMG51" s="45"/>
      <c r="NMH51" s="45"/>
      <c r="NMI51" s="45"/>
      <c r="NMJ51" s="45"/>
      <c r="NMK51" s="45"/>
      <c r="NML51" s="45"/>
      <c r="NMM51" s="45"/>
      <c r="NMN51" s="45"/>
      <c r="NMO51" s="45"/>
      <c r="NMP51" s="45"/>
      <c r="NMQ51" s="45"/>
      <c r="NMR51" s="45"/>
      <c r="NMS51" s="45"/>
      <c r="NMT51" s="45"/>
      <c r="NMU51" s="45"/>
      <c r="NMV51" s="45"/>
      <c r="NMW51" s="45"/>
      <c r="NMX51" s="45"/>
      <c r="NMY51" s="45"/>
      <c r="NMZ51" s="45"/>
      <c r="NNA51" s="45"/>
      <c r="NNB51" s="45"/>
      <c r="NNC51" s="45"/>
      <c r="NND51" s="45"/>
      <c r="NNE51" s="45"/>
      <c r="NNF51" s="45"/>
      <c r="NNG51" s="45"/>
      <c r="NNH51" s="45"/>
      <c r="NNI51" s="45"/>
      <c r="NNJ51" s="45"/>
      <c r="NNK51" s="45"/>
      <c r="NNL51" s="45"/>
      <c r="NNM51" s="45"/>
      <c r="NNN51" s="45"/>
      <c r="NNO51" s="45"/>
      <c r="NNP51" s="45"/>
      <c r="NNQ51" s="45"/>
      <c r="NNR51" s="45"/>
      <c r="NNS51" s="45"/>
      <c r="NNT51" s="45"/>
      <c r="NNU51" s="45"/>
      <c r="NNV51" s="45"/>
      <c r="NNW51" s="45"/>
      <c r="NNX51" s="45"/>
      <c r="NNY51" s="45"/>
      <c r="NNZ51" s="45"/>
      <c r="NOA51" s="45"/>
      <c r="NOB51" s="45"/>
      <c r="NOC51" s="45"/>
      <c r="NOD51" s="45"/>
      <c r="NOE51" s="45"/>
      <c r="NOF51" s="45"/>
      <c r="NOG51" s="45"/>
      <c r="NOH51" s="45"/>
      <c r="NOI51" s="45"/>
      <c r="NOJ51" s="45"/>
      <c r="NOK51" s="45"/>
      <c r="NOL51" s="45"/>
      <c r="NOM51" s="45"/>
      <c r="NON51" s="45"/>
      <c r="NOO51" s="45"/>
      <c r="NOP51" s="45"/>
      <c r="NOQ51" s="45"/>
      <c r="NOR51" s="45"/>
      <c r="NOS51" s="45"/>
      <c r="NOT51" s="45"/>
      <c r="NOU51" s="45"/>
      <c r="NOV51" s="45"/>
      <c r="NOW51" s="45"/>
      <c r="NOX51" s="45"/>
      <c r="NOY51" s="45"/>
      <c r="NOZ51" s="45"/>
      <c r="NPA51" s="45"/>
      <c r="NPB51" s="45"/>
      <c r="NPC51" s="45"/>
      <c r="NPD51" s="45"/>
      <c r="NPE51" s="45"/>
      <c r="NPF51" s="45"/>
      <c r="NPG51" s="45"/>
      <c r="NPH51" s="45"/>
      <c r="NPI51" s="45"/>
      <c r="NPJ51" s="45"/>
      <c r="NPK51" s="45"/>
      <c r="NPL51" s="45"/>
      <c r="NPM51" s="45"/>
      <c r="NPN51" s="45"/>
      <c r="NPO51" s="45"/>
      <c r="NPP51" s="45"/>
      <c r="NPQ51" s="45"/>
      <c r="NPR51" s="45"/>
      <c r="NPS51" s="45"/>
      <c r="NPT51" s="45"/>
      <c r="NPU51" s="45"/>
      <c r="NPV51" s="45"/>
      <c r="NPW51" s="45"/>
      <c r="NPX51" s="45"/>
      <c r="NPY51" s="45"/>
      <c r="NPZ51" s="45"/>
      <c r="NQA51" s="45"/>
      <c r="NQB51" s="45"/>
      <c r="NQC51" s="45"/>
      <c r="NQD51" s="45"/>
      <c r="NQE51" s="45"/>
      <c r="NQF51" s="45"/>
      <c r="NQG51" s="45"/>
      <c r="NQH51" s="45"/>
      <c r="NQI51" s="45"/>
      <c r="NQJ51" s="45"/>
      <c r="NQK51" s="45"/>
      <c r="NQL51" s="45"/>
      <c r="NQM51" s="45"/>
      <c r="NQN51" s="45"/>
      <c r="NQO51" s="45"/>
      <c r="NQP51" s="45"/>
      <c r="NQQ51" s="45"/>
      <c r="NQR51" s="45"/>
      <c r="NQS51" s="45"/>
      <c r="NQT51" s="45"/>
      <c r="NQU51" s="45"/>
      <c r="NQV51" s="45"/>
      <c r="NQW51" s="45"/>
      <c r="NQX51" s="45"/>
      <c r="NQY51" s="45"/>
      <c r="NQZ51" s="45"/>
      <c r="NRA51" s="45"/>
      <c r="NRB51" s="45"/>
      <c r="NRC51" s="45"/>
      <c r="NRD51" s="45"/>
      <c r="NRE51" s="45"/>
      <c r="NRF51" s="45"/>
      <c r="NRG51" s="45"/>
      <c r="NRH51" s="45"/>
      <c r="NRI51" s="45"/>
      <c r="NRJ51" s="45"/>
      <c r="NRK51" s="45"/>
      <c r="NRL51" s="45"/>
      <c r="NRM51" s="45"/>
      <c r="NRN51" s="45"/>
      <c r="NRO51" s="45"/>
      <c r="NRP51" s="45"/>
      <c r="NRQ51" s="45"/>
      <c r="NRR51" s="45"/>
      <c r="NRS51" s="45"/>
      <c r="NRT51" s="45"/>
      <c r="NRU51" s="45"/>
      <c r="NRV51" s="45"/>
      <c r="NRW51" s="45"/>
      <c r="NRX51" s="45"/>
      <c r="NRY51" s="45"/>
      <c r="NRZ51" s="45"/>
      <c r="NSA51" s="45"/>
      <c r="NSB51" s="45"/>
      <c r="NSC51" s="45"/>
      <c r="NSD51" s="45"/>
      <c r="NSE51" s="45"/>
      <c r="NSF51" s="45"/>
      <c r="NSG51" s="45"/>
      <c r="NSH51" s="45"/>
      <c r="NSI51" s="45"/>
      <c r="NSJ51" s="45"/>
      <c r="NSK51" s="45"/>
      <c r="NSL51" s="45"/>
      <c r="NSM51" s="45"/>
      <c r="NSN51" s="45"/>
      <c r="NSO51" s="45"/>
      <c r="NSP51" s="45"/>
      <c r="NSQ51" s="45"/>
      <c r="NSR51" s="45"/>
      <c r="NSS51" s="45"/>
      <c r="NST51" s="45"/>
      <c r="NSU51" s="45"/>
      <c r="NSV51" s="45"/>
      <c r="NSW51" s="45"/>
      <c r="NSX51" s="45"/>
      <c r="NSY51" s="45"/>
      <c r="NSZ51" s="45"/>
      <c r="NTA51" s="45"/>
      <c r="NTB51" s="45"/>
      <c r="NTC51" s="45"/>
      <c r="NTD51" s="45"/>
      <c r="NTE51" s="45"/>
      <c r="NTF51" s="45"/>
      <c r="NTG51" s="45"/>
      <c r="NTH51" s="45"/>
      <c r="NTI51" s="45"/>
      <c r="NTJ51" s="45"/>
      <c r="NTK51" s="45"/>
      <c r="NTL51" s="45"/>
      <c r="NTM51" s="45"/>
      <c r="NTN51" s="45"/>
      <c r="NTO51" s="45"/>
      <c r="NTP51" s="45"/>
      <c r="NTQ51" s="45"/>
      <c r="NTR51" s="45"/>
      <c r="NTS51" s="45"/>
      <c r="NTT51" s="45"/>
      <c r="NTU51" s="45"/>
      <c r="NTV51" s="45"/>
      <c r="NTW51" s="45"/>
      <c r="NTX51" s="45"/>
      <c r="NTY51" s="45"/>
      <c r="NTZ51" s="45"/>
      <c r="NUA51" s="45"/>
      <c r="NUB51" s="45"/>
      <c r="NUC51" s="45"/>
      <c r="NUD51" s="45"/>
      <c r="NUE51" s="45"/>
      <c r="NUF51" s="45"/>
      <c r="NUG51" s="45"/>
      <c r="NUH51" s="45"/>
      <c r="NUI51" s="45"/>
      <c r="NUJ51" s="45"/>
      <c r="NUK51" s="45"/>
      <c r="NUL51" s="45"/>
      <c r="NUM51" s="45"/>
      <c r="NUN51" s="45"/>
      <c r="NUO51" s="45"/>
      <c r="NUP51" s="45"/>
      <c r="NUQ51" s="45"/>
      <c r="NUR51" s="45"/>
      <c r="NUS51" s="45"/>
      <c r="NUT51" s="45"/>
      <c r="NUU51" s="45"/>
      <c r="NUV51" s="45"/>
      <c r="NUW51" s="45"/>
      <c r="NUX51" s="45"/>
      <c r="NUY51" s="45"/>
      <c r="NUZ51" s="45"/>
      <c r="NVA51" s="45"/>
      <c r="NVB51" s="45"/>
      <c r="NVC51" s="45"/>
      <c r="NVD51" s="45"/>
      <c r="NVE51" s="45"/>
      <c r="NVF51" s="45"/>
      <c r="NVG51" s="45"/>
      <c r="NVH51" s="45"/>
      <c r="NVI51" s="45"/>
      <c r="NVJ51" s="45"/>
      <c r="NVK51" s="45"/>
      <c r="NVL51" s="45"/>
      <c r="NVM51" s="45"/>
      <c r="NVN51" s="45"/>
      <c r="NVO51" s="45"/>
      <c r="NVP51" s="45"/>
      <c r="NVQ51" s="45"/>
      <c r="NVR51" s="45"/>
      <c r="NVS51" s="45"/>
      <c r="NVT51" s="45"/>
      <c r="NVU51" s="45"/>
      <c r="NVV51" s="45"/>
      <c r="NVW51" s="45"/>
      <c r="NVX51" s="45"/>
      <c r="NVY51" s="45"/>
      <c r="NVZ51" s="45"/>
      <c r="NWA51" s="45"/>
      <c r="NWB51" s="45"/>
      <c r="NWC51" s="45"/>
      <c r="NWD51" s="45"/>
      <c r="NWE51" s="45"/>
      <c r="NWF51" s="45"/>
      <c r="NWG51" s="45"/>
      <c r="NWH51" s="45"/>
      <c r="NWI51" s="45"/>
      <c r="NWJ51" s="45"/>
      <c r="NWK51" s="45"/>
      <c r="NWL51" s="45"/>
      <c r="NWM51" s="45"/>
      <c r="NWN51" s="45"/>
      <c r="NWO51" s="45"/>
      <c r="NWP51" s="45"/>
      <c r="NWQ51" s="45"/>
      <c r="NWR51" s="45"/>
      <c r="NWS51" s="45"/>
      <c r="NWT51" s="45"/>
      <c r="NWU51" s="45"/>
      <c r="NWV51" s="45"/>
      <c r="NWW51" s="45"/>
      <c r="NWX51" s="45"/>
      <c r="NWY51" s="45"/>
      <c r="NWZ51" s="45"/>
      <c r="NXA51" s="45"/>
      <c r="NXB51" s="45"/>
      <c r="NXC51" s="45"/>
      <c r="NXD51" s="45"/>
      <c r="NXE51" s="45"/>
      <c r="NXF51" s="45"/>
      <c r="NXG51" s="45"/>
      <c r="NXH51" s="45"/>
      <c r="NXI51" s="45"/>
      <c r="NXJ51" s="45"/>
      <c r="NXK51" s="45"/>
      <c r="NXL51" s="45"/>
      <c r="NXM51" s="45"/>
      <c r="NXN51" s="45"/>
      <c r="NXO51" s="45"/>
      <c r="NXP51" s="45"/>
      <c r="NXQ51" s="45"/>
      <c r="NXR51" s="45"/>
      <c r="NXS51" s="45"/>
      <c r="NXT51" s="45"/>
      <c r="NXU51" s="45"/>
      <c r="NXV51" s="45"/>
      <c r="NXW51" s="45"/>
      <c r="NXX51" s="45"/>
      <c r="NXY51" s="45"/>
      <c r="NXZ51" s="45"/>
      <c r="NYA51" s="45"/>
      <c r="NYB51" s="45"/>
      <c r="NYC51" s="45"/>
      <c r="NYD51" s="45"/>
      <c r="NYE51" s="45"/>
      <c r="NYF51" s="45"/>
      <c r="NYG51" s="45"/>
      <c r="NYH51" s="45"/>
      <c r="NYI51" s="45"/>
      <c r="NYJ51" s="45"/>
      <c r="NYK51" s="45"/>
      <c r="NYL51" s="45"/>
      <c r="NYM51" s="45"/>
      <c r="NYN51" s="45"/>
      <c r="NYO51" s="45"/>
      <c r="NYP51" s="45"/>
      <c r="NYQ51" s="45"/>
      <c r="NYR51" s="45"/>
      <c r="NYS51" s="45"/>
      <c r="NYT51" s="45"/>
      <c r="NYU51" s="45"/>
      <c r="NYV51" s="45"/>
      <c r="NYW51" s="45"/>
      <c r="NYX51" s="45"/>
      <c r="NYY51" s="45"/>
      <c r="NYZ51" s="45"/>
      <c r="NZA51" s="45"/>
      <c r="NZB51" s="45"/>
      <c r="NZC51" s="45"/>
      <c r="NZD51" s="45"/>
      <c r="NZE51" s="45"/>
      <c r="NZF51" s="45"/>
      <c r="NZG51" s="45"/>
      <c r="NZH51" s="45"/>
      <c r="NZI51" s="45"/>
      <c r="NZJ51" s="45"/>
      <c r="NZK51" s="45"/>
      <c r="NZL51" s="45"/>
      <c r="NZM51" s="45"/>
      <c r="NZN51" s="45"/>
      <c r="NZO51" s="45"/>
      <c r="NZP51" s="45"/>
      <c r="NZQ51" s="45"/>
      <c r="NZR51" s="45"/>
      <c r="NZS51" s="45"/>
      <c r="NZT51" s="45"/>
      <c r="NZU51" s="45"/>
      <c r="NZV51" s="45"/>
      <c r="NZW51" s="45"/>
      <c r="NZX51" s="45"/>
      <c r="NZY51" s="45"/>
      <c r="NZZ51" s="45"/>
      <c r="OAA51" s="45"/>
      <c r="OAB51" s="45"/>
      <c r="OAC51" s="45"/>
      <c r="OAD51" s="45"/>
      <c r="OAE51" s="45"/>
      <c r="OAF51" s="45"/>
      <c r="OAG51" s="45"/>
      <c r="OAH51" s="45"/>
      <c r="OAI51" s="45"/>
      <c r="OAJ51" s="45"/>
      <c r="OAK51" s="45"/>
      <c r="OAL51" s="45"/>
      <c r="OAM51" s="45"/>
      <c r="OAN51" s="45"/>
      <c r="OAO51" s="45"/>
      <c r="OAP51" s="45"/>
      <c r="OAQ51" s="45"/>
      <c r="OAR51" s="45"/>
      <c r="OAS51" s="45"/>
      <c r="OAT51" s="45"/>
      <c r="OAU51" s="45"/>
      <c r="OAV51" s="45"/>
      <c r="OAW51" s="45"/>
      <c r="OAX51" s="45"/>
      <c r="OAY51" s="45"/>
      <c r="OAZ51" s="45"/>
      <c r="OBA51" s="45"/>
      <c r="OBB51" s="45"/>
      <c r="OBC51" s="45"/>
      <c r="OBD51" s="45"/>
      <c r="OBE51" s="45"/>
      <c r="OBF51" s="45"/>
      <c r="OBG51" s="45"/>
      <c r="OBH51" s="45"/>
      <c r="OBI51" s="45"/>
      <c r="OBJ51" s="45"/>
      <c r="OBK51" s="45"/>
      <c r="OBL51" s="45"/>
      <c r="OBM51" s="45"/>
      <c r="OBN51" s="45"/>
      <c r="OBO51" s="45"/>
      <c r="OBP51" s="45"/>
      <c r="OBQ51" s="45"/>
      <c r="OBR51" s="45"/>
      <c r="OBS51" s="45"/>
      <c r="OBT51" s="45"/>
      <c r="OBU51" s="45"/>
      <c r="OBV51" s="45"/>
      <c r="OBW51" s="45"/>
      <c r="OBX51" s="45"/>
      <c r="OBY51" s="45"/>
      <c r="OBZ51" s="45"/>
      <c r="OCA51" s="45"/>
      <c r="OCB51" s="45"/>
      <c r="OCC51" s="45"/>
      <c r="OCD51" s="45"/>
      <c r="OCE51" s="45"/>
      <c r="OCF51" s="45"/>
      <c r="OCG51" s="45"/>
      <c r="OCH51" s="45"/>
      <c r="OCI51" s="45"/>
      <c r="OCJ51" s="45"/>
      <c r="OCK51" s="45"/>
      <c r="OCL51" s="45"/>
      <c r="OCM51" s="45"/>
      <c r="OCN51" s="45"/>
      <c r="OCO51" s="45"/>
      <c r="OCP51" s="45"/>
      <c r="OCQ51" s="45"/>
      <c r="OCR51" s="45"/>
      <c r="OCS51" s="45"/>
      <c r="OCT51" s="45"/>
      <c r="OCU51" s="45"/>
      <c r="OCV51" s="45"/>
      <c r="OCW51" s="45"/>
      <c r="OCX51" s="45"/>
      <c r="OCY51" s="45"/>
      <c r="OCZ51" s="45"/>
      <c r="ODA51" s="45"/>
      <c r="ODB51" s="45"/>
      <c r="ODC51" s="45"/>
      <c r="ODD51" s="45"/>
      <c r="ODE51" s="45"/>
      <c r="ODF51" s="45"/>
      <c r="ODG51" s="45"/>
      <c r="ODH51" s="45"/>
      <c r="ODI51" s="45"/>
      <c r="ODJ51" s="45"/>
      <c r="ODK51" s="45"/>
      <c r="ODL51" s="45"/>
      <c r="ODM51" s="45"/>
      <c r="ODN51" s="45"/>
      <c r="ODO51" s="45"/>
      <c r="ODP51" s="45"/>
      <c r="ODQ51" s="45"/>
      <c r="ODR51" s="45"/>
      <c r="ODS51" s="45"/>
      <c r="ODT51" s="45"/>
      <c r="ODU51" s="45"/>
      <c r="ODV51" s="45"/>
      <c r="ODW51" s="45"/>
      <c r="ODX51" s="45"/>
      <c r="ODY51" s="45"/>
      <c r="ODZ51" s="45"/>
      <c r="OEA51" s="45"/>
      <c r="OEB51" s="45"/>
      <c r="OEC51" s="45"/>
      <c r="OED51" s="45"/>
      <c r="OEE51" s="45"/>
      <c r="OEF51" s="45"/>
      <c r="OEG51" s="45"/>
      <c r="OEH51" s="45"/>
      <c r="OEI51" s="45"/>
      <c r="OEJ51" s="45"/>
      <c r="OEK51" s="45"/>
      <c r="OEL51" s="45"/>
      <c r="OEM51" s="45"/>
      <c r="OEN51" s="45"/>
      <c r="OEO51" s="45"/>
      <c r="OEP51" s="45"/>
      <c r="OEQ51" s="45"/>
      <c r="OER51" s="45"/>
      <c r="OES51" s="45"/>
      <c r="OET51" s="45"/>
      <c r="OEU51" s="45"/>
      <c r="OEV51" s="45"/>
      <c r="OEW51" s="45"/>
      <c r="OEX51" s="45"/>
      <c r="OEY51" s="45"/>
      <c r="OEZ51" s="45"/>
      <c r="OFA51" s="45"/>
      <c r="OFB51" s="45"/>
      <c r="OFC51" s="45"/>
      <c r="OFD51" s="45"/>
      <c r="OFE51" s="45"/>
      <c r="OFF51" s="45"/>
      <c r="OFG51" s="45"/>
      <c r="OFH51" s="45"/>
      <c r="OFI51" s="45"/>
      <c r="OFJ51" s="45"/>
      <c r="OFK51" s="45"/>
      <c r="OFL51" s="45"/>
      <c r="OFM51" s="45"/>
      <c r="OFN51" s="45"/>
      <c r="OFO51" s="45"/>
      <c r="OFP51" s="45"/>
      <c r="OFQ51" s="45"/>
      <c r="OFR51" s="45"/>
      <c r="OFS51" s="45"/>
      <c r="OFT51" s="45"/>
      <c r="OFU51" s="45"/>
      <c r="OFV51" s="45"/>
      <c r="OFW51" s="45"/>
      <c r="OFX51" s="45"/>
      <c r="OFY51" s="45"/>
      <c r="OFZ51" s="45"/>
      <c r="OGA51" s="45"/>
      <c r="OGB51" s="45"/>
      <c r="OGC51" s="45"/>
      <c r="OGD51" s="45"/>
      <c r="OGE51" s="45"/>
      <c r="OGF51" s="45"/>
      <c r="OGG51" s="45"/>
      <c r="OGH51" s="45"/>
      <c r="OGI51" s="45"/>
      <c r="OGJ51" s="45"/>
      <c r="OGK51" s="45"/>
      <c r="OGL51" s="45"/>
      <c r="OGM51" s="45"/>
      <c r="OGN51" s="45"/>
      <c r="OGO51" s="45"/>
      <c r="OGP51" s="45"/>
      <c r="OGQ51" s="45"/>
      <c r="OGR51" s="45"/>
      <c r="OGS51" s="45"/>
      <c r="OGT51" s="45"/>
      <c r="OGU51" s="45"/>
      <c r="OGV51" s="45"/>
      <c r="OGW51" s="45"/>
      <c r="OGX51" s="45"/>
      <c r="OGY51" s="45"/>
      <c r="OGZ51" s="45"/>
      <c r="OHA51" s="45"/>
      <c r="OHB51" s="45"/>
      <c r="OHC51" s="45"/>
      <c r="OHD51" s="45"/>
      <c r="OHE51" s="45"/>
      <c r="OHF51" s="45"/>
      <c r="OHG51" s="45"/>
      <c r="OHH51" s="45"/>
      <c r="OHI51" s="45"/>
      <c r="OHJ51" s="45"/>
      <c r="OHK51" s="45"/>
      <c r="OHL51" s="45"/>
      <c r="OHM51" s="45"/>
      <c r="OHN51" s="45"/>
      <c r="OHO51" s="45"/>
      <c r="OHP51" s="45"/>
      <c r="OHQ51" s="45"/>
      <c r="OHR51" s="45"/>
      <c r="OHS51" s="45"/>
      <c r="OHT51" s="45"/>
      <c r="OHU51" s="45"/>
      <c r="OHV51" s="45"/>
      <c r="OHW51" s="45"/>
      <c r="OHX51" s="45"/>
      <c r="OHY51" s="45"/>
      <c r="OHZ51" s="45"/>
      <c r="OIA51" s="45"/>
      <c r="OIB51" s="45"/>
      <c r="OIC51" s="45"/>
      <c r="OID51" s="45"/>
      <c r="OIE51" s="45"/>
      <c r="OIF51" s="45"/>
      <c r="OIG51" s="45"/>
      <c r="OIH51" s="45"/>
      <c r="OII51" s="45"/>
      <c r="OIJ51" s="45"/>
      <c r="OIK51" s="45"/>
      <c r="OIL51" s="45"/>
      <c r="OIM51" s="45"/>
      <c r="OIN51" s="45"/>
      <c r="OIO51" s="45"/>
      <c r="OIP51" s="45"/>
      <c r="OIQ51" s="45"/>
      <c r="OIR51" s="45"/>
      <c r="OIS51" s="45"/>
      <c r="OIT51" s="45"/>
      <c r="OIU51" s="45"/>
      <c r="OIV51" s="45"/>
      <c r="OIW51" s="45"/>
      <c r="OIX51" s="45"/>
      <c r="OIY51" s="45"/>
      <c r="OIZ51" s="45"/>
      <c r="OJA51" s="45"/>
      <c r="OJB51" s="45"/>
      <c r="OJC51" s="45"/>
      <c r="OJD51" s="45"/>
      <c r="OJE51" s="45"/>
      <c r="OJF51" s="45"/>
      <c r="OJG51" s="45"/>
      <c r="OJH51" s="45"/>
      <c r="OJI51" s="45"/>
      <c r="OJJ51" s="45"/>
      <c r="OJK51" s="45"/>
      <c r="OJL51" s="45"/>
      <c r="OJM51" s="45"/>
      <c r="OJN51" s="45"/>
      <c r="OJO51" s="45"/>
      <c r="OJP51" s="45"/>
      <c r="OJQ51" s="45"/>
      <c r="OJR51" s="45"/>
      <c r="OJS51" s="45"/>
      <c r="OJT51" s="45"/>
      <c r="OJU51" s="45"/>
      <c r="OJV51" s="45"/>
      <c r="OJW51" s="45"/>
      <c r="OJX51" s="45"/>
      <c r="OJY51" s="45"/>
      <c r="OJZ51" s="45"/>
      <c r="OKA51" s="45"/>
      <c r="OKB51" s="45"/>
      <c r="OKC51" s="45"/>
      <c r="OKD51" s="45"/>
      <c r="OKE51" s="45"/>
      <c r="OKF51" s="45"/>
      <c r="OKG51" s="45"/>
      <c r="OKH51" s="45"/>
      <c r="OKI51" s="45"/>
      <c r="OKJ51" s="45"/>
      <c r="OKK51" s="45"/>
      <c r="OKL51" s="45"/>
      <c r="OKM51" s="45"/>
      <c r="OKN51" s="45"/>
      <c r="OKO51" s="45"/>
      <c r="OKP51" s="45"/>
      <c r="OKQ51" s="45"/>
      <c r="OKR51" s="45"/>
      <c r="OKS51" s="45"/>
      <c r="OKT51" s="45"/>
      <c r="OKU51" s="45"/>
      <c r="OKV51" s="45"/>
      <c r="OKW51" s="45"/>
      <c r="OKX51" s="45"/>
      <c r="OKY51" s="45"/>
      <c r="OKZ51" s="45"/>
      <c r="OLA51" s="45"/>
      <c r="OLB51" s="45"/>
      <c r="OLC51" s="45"/>
      <c r="OLD51" s="45"/>
      <c r="OLE51" s="45"/>
      <c r="OLF51" s="45"/>
      <c r="OLG51" s="45"/>
      <c r="OLH51" s="45"/>
      <c r="OLI51" s="45"/>
      <c r="OLJ51" s="45"/>
      <c r="OLK51" s="45"/>
      <c r="OLL51" s="45"/>
      <c r="OLM51" s="45"/>
      <c r="OLN51" s="45"/>
      <c r="OLO51" s="45"/>
      <c r="OLP51" s="45"/>
      <c r="OLQ51" s="45"/>
      <c r="OLR51" s="45"/>
      <c r="OLS51" s="45"/>
      <c r="OLT51" s="45"/>
      <c r="OLU51" s="45"/>
      <c r="OLV51" s="45"/>
      <c r="OLW51" s="45"/>
      <c r="OLX51" s="45"/>
      <c r="OLY51" s="45"/>
      <c r="OLZ51" s="45"/>
      <c r="OMA51" s="45"/>
      <c r="OMB51" s="45"/>
      <c r="OMC51" s="45"/>
      <c r="OMD51" s="45"/>
      <c r="OME51" s="45"/>
      <c r="OMF51" s="45"/>
      <c r="OMG51" s="45"/>
      <c r="OMH51" s="45"/>
      <c r="OMI51" s="45"/>
      <c r="OMJ51" s="45"/>
      <c r="OMK51" s="45"/>
      <c r="OML51" s="45"/>
      <c r="OMM51" s="45"/>
      <c r="OMN51" s="45"/>
      <c r="OMO51" s="45"/>
      <c r="OMP51" s="45"/>
      <c r="OMQ51" s="45"/>
      <c r="OMR51" s="45"/>
      <c r="OMS51" s="45"/>
      <c r="OMT51" s="45"/>
      <c r="OMU51" s="45"/>
      <c r="OMV51" s="45"/>
      <c r="OMW51" s="45"/>
      <c r="OMX51" s="45"/>
      <c r="OMY51" s="45"/>
      <c r="OMZ51" s="45"/>
      <c r="ONA51" s="45"/>
      <c r="ONB51" s="45"/>
      <c r="ONC51" s="45"/>
      <c r="OND51" s="45"/>
      <c r="ONE51" s="45"/>
      <c r="ONF51" s="45"/>
      <c r="ONG51" s="45"/>
      <c r="ONH51" s="45"/>
      <c r="ONI51" s="45"/>
      <c r="ONJ51" s="45"/>
      <c r="ONK51" s="45"/>
      <c r="ONL51" s="45"/>
      <c r="ONM51" s="45"/>
      <c r="ONN51" s="45"/>
      <c r="ONO51" s="45"/>
      <c r="ONP51" s="45"/>
      <c r="ONQ51" s="45"/>
      <c r="ONR51" s="45"/>
      <c r="ONS51" s="45"/>
      <c r="ONT51" s="45"/>
      <c r="ONU51" s="45"/>
      <c r="ONV51" s="45"/>
      <c r="ONW51" s="45"/>
      <c r="ONX51" s="45"/>
      <c r="ONY51" s="45"/>
      <c r="ONZ51" s="45"/>
      <c r="OOA51" s="45"/>
      <c r="OOB51" s="45"/>
      <c r="OOC51" s="45"/>
      <c r="OOD51" s="45"/>
      <c r="OOE51" s="45"/>
      <c r="OOF51" s="45"/>
      <c r="OOG51" s="45"/>
      <c r="OOH51" s="45"/>
      <c r="OOI51" s="45"/>
      <c r="OOJ51" s="45"/>
      <c r="OOK51" s="45"/>
      <c r="OOL51" s="45"/>
      <c r="OOM51" s="45"/>
      <c r="OON51" s="45"/>
      <c r="OOO51" s="45"/>
      <c r="OOP51" s="45"/>
      <c r="OOQ51" s="45"/>
      <c r="OOR51" s="45"/>
      <c r="OOS51" s="45"/>
      <c r="OOT51" s="45"/>
      <c r="OOU51" s="45"/>
      <c r="OOV51" s="45"/>
      <c r="OOW51" s="45"/>
      <c r="OOX51" s="45"/>
      <c r="OOY51" s="45"/>
      <c r="OOZ51" s="45"/>
      <c r="OPA51" s="45"/>
      <c r="OPB51" s="45"/>
      <c r="OPC51" s="45"/>
      <c r="OPD51" s="45"/>
      <c r="OPE51" s="45"/>
      <c r="OPF51" s="45"/>
      <c r="OPG51" s="45"/>
      <c r="OPH51" s="45"/>
      <c r="OPI51" s="45"/>
      <c r="OPJ51" s="45"/>
      <c r="OPK51" s="45"/>
      <c r="OPL51" s="45"/>
      <c r="OPM51" s="45"/>
      <c r="OPN51" s="45"/>
      <c r="OPO51" s="45"/>
      <c r="OPP51" s="45"/>
      <c r="OPQ51" s="45"/>
      <c r="OPR51" s="45"/>
      <c r="OPS51" s="45"/>
      <c r="OPT51" s="45"/>
      <c r="OPU51" s="45"/>
      <c r="OPV51" s="45"/>
      <c r="OPW51" s="45"/>
      <c r="OPX51" s="45"/>
      <c r="OPY51" s="45"/>
      <c r="OPZ51" s="45"/>
      <c r="OQA51" s="45"/>
      <c r="OQB51" s="45"/>
      <c r="OQC51" s="45"/>
      <c r="OQD51" s="45"/>
      <c r="OQE51" s="45"/>
      <c r="OQF51" s="45"/>
      <c r="OQG51" s="45"/>
      <c r="OQH51" s="45"/>
      <c r="OQI51" s="45"/>
      <c r="OQJ51" s="45"/>
      <c r="OQK51" s="45"/>
      <c r="OQL51" s="45"/>
      <c r="OQM51" s="45"/>
      <c r="OQN51" s="45"/>
      <c r="OQO51" s="45"/>
      <c r="OQP51" s="45"/>
      <c r="OQQ51" s="45"/>
      <c r="OQR51" s="45"/>
      <c r="OQS51" s="45"/>
      <c r="OQT51" s="45"/>
      <c r="OQU51" s="45"/>
      <c r="OQV51" s="45"/>
      <c r="OQW51" s="45"/>
      <c r="OQX51" s="45"/>
      <c r="OQY51" s="45"/>
      <c r="OQZ51" s="45"/>
      <c r="ORA51" s="45"/>
      <c r="ORB51" s="45"/>
      <c r="ORC51" s="45"/>
      <c r="ORD51" s="45"/>
      <c r="ORE51" s="45"/>
      <c r="ORF51" s="45"/>
      <c r="ORG51" s="45"/>
      <c r="ORH51" s="45"/>
      <c r="ORI51" s="45"/>
      <c r="ORJ51" s="45"/>
      <c r="ORK51" s="45"/>
      <c r="ORL51" s="45"/>
      <c r="ORM51" s="45"/>
      <c r="ORN51" s="45"/>
      <c r="ORO51" s="45"/>
      <c r="ORP51" s="45"/>
      <c r="ORQ51" s="45"/>
      <c r="ORR51" s="45"/>
      <c r="ORS51" s="45"/>
      <c r="ORT51" s="45"/>
      <c r="ORU51" s="45"/>
      <c r="ORV51" s="45"/>
      <c r="ORW51" s="45"/>
      <c r="ORX51" s="45"/>
      <c r="ORY51" s="45"/>
      <c r="ORZ51" s="45"/>
      <c r="OSA51" s="45"/>
      <c r="OSB51" s="45"/>
      <c r="OSC51" s="45"/>
      <c r="OSD51" s="45"/>
      <c r="OSE51" s="45"/>
      <c r="OSF51" s="45"/>
      <c r="OSG51" s="45"/>
      <c r="OSH51" s="45"/>
      <c r="OSI51" s="45"/>
      <c r="OSJ51" s="45"/>
      <c r="OSK51" s="45"/>
      <c r="OSL51" s="45"/>
      <c r="OSM51" s="45"/>
      <c r="OSN51" s="45"/>
      <c r="OSO51" s="45"/>
      <c r="OSP51" s="45"/>
      <c r="OSQ51" s="45"/>
      <c r="OSR51" s="45"/>
      <c r="OSS51" s="45"/>
      <c r="OST51" s="45"/>
      <c r="OSU51" s="45"/>
      <c r="OSV51" s="45"/>
      <c r="OSW51" s="45"/>
      <c r="OSX51" s="45"/>
      <c r="OSY51" s="45"/>
      <c r="OSZ51" s="45"/>
      <c r="OTA51" s="45"/>
      <c r="OTB51" s="45"/>
      <c r="OTC51" s="45"/>
      <c r="OTD51" s="45"/>
      <c r="OTE51" s="45"/>
      <c r="OTF51" s="45"/>
      <c r="OTG51" s="45"/>
      <c r="OTH51" s="45"/>
      <c r="OTI51" s="45"/>
      <c r="OTJ51" s="45"/>
      <c r="OTK51" s="45"/>
      <c r="OTL51" s="45"/>
      <c r="OTM51" s="45"/>
      <c r="OTN51" s="45"/>
      <c r="OTO51" s="45"/>
      <c r="OTP51" s="45"/>
      <c r="OTQ51" s="45"/>
      <c r="OTR51" s="45"/>
      <c r="OTS51" s="45"/>
      <c r="OTT51" s="45"/>
      <c r="OTU51" s="45"/>
      <c r="OTV51" s="45"/>
      <c r="OTW51" s="45"/>
      <c r="OTX51" s="45"/>
      <c r="OTY51" s="45"/>
      <c r="OTZ51" s="45"/>
      <c r="OUA51" s="45"/>
      <c r="OUB51" s="45"/>
      <c r="OUC51" s="45"/>
      <c r="OUD51" s="45"/>
      <c r="OUE51" s="45"/>
      <c r="OUF51" s="45"/>
      <c r="OUG51" s="45"/>
      <c r="OUH51" s="45"/>
      <c r="OUI51" s="45"/>
      <c r="OUJ51" s="45"/>
      <c r="OUK51" s="45"/>
      <c r="OUL51" s="45"/>
      <c r="OUM51" s="45"/>
      <c r="OUN51" s="45"/>
      <c r="OUO51" s="45"/>
      <c r="OUP51" s="45"/>
      <c r="OUQ51" s="45"/>
      <c r="OUR51" s="45"/>
      <c r="OUS51" s="45"/>
      <c r="OUT51" s="45"/>
      <c r="OUU51" s="45"/>
      <c r="OUV51" s="45"/>
      <c r="OUW51" s="45"/>
      <c r="OUX51" s="45"/>
      <c r="OUY51" s="45"/>
      <c r="OUZ51" s="45"/>
      <c r="OVA51" s="45"/>
      <c r="OVB51" s="45"/>
      <c r="OVC51" s="45"/>
      <c r="OVD51" s="45"/>
      <c r="OVE51" s="45"/>
      <c r="OVF51" s="45"/>
      <c r="OVG51" s="45"/>
      <c r="OVH51" s="45"/>
      <c r="OVI51" s="45"/>
      <c r="OVJ51" s="45"/>
      <c r="OVK51" s="45"/>
      <c r="OVL51" s="45"/>
      <c r="OVM51" s="45"/>
      <c r="OVN51" s="45"/>
      <c r="OVO51" s="45"/>
      <c r="OVP51" s="45"/>
      <c r="OVQ51" s="45"/>
      <c r="OVR51" s="45"/>
      <c r="OVS51" s="45"/>
      <c r="OVT51" s="45"/>
      <c r="OVU51" s="45"/>
      <c r="OVV51" s="45"/>
      <c r="OVW51" s="45"/>
      <c r="OVX51" s="45"/>
      <c r="OVY51" s="45"/>
      <c r="OVZ51" s="45"/>
      <c r="OWA51" s="45"/>
      <c r="OWB51" s="45"/>
      <c r="OWC51" s="45"/>
      <c r="OWD51" s="45"/>
      <c r="OWE51" s="45"/>
      <c r="OWF51" s="45"/>
      <c r="OWG51" s="45"/>
      <c r="OWH51" s="45"/>
      <c r="OWI51" s="45"/>
      <c r="OWJ51" s="45"/>
      <c r="OWK51" s="45"/>
      <c r="OWL51" s="45"/>
      <c r="OWM51" s="45"/>
      <c r="OWN51" s="45"/>
      <c r="OWO51" s="45"/>
      <c r="OWP51" s="45"/>
      <c r="OWQ51" s="45"/>
      <c r="OWR51" s="45"/>
      <c r="OWS51" s="45"/>
      <c r="OWT51" s="45"/>
      <c r="OWU51" s="45"/>
      <c r="OWV51" s="45"/>
      <c r="OWW51" s="45"/>
      <c r="OWX51" s="45"/>
      <c r="OWY51" s="45"/>
      <c r="OWZ51" s="45"/>
      <c r="OXA51" s="45"/>
      <c r="OXB51" s="45"/>
      <c r="OXC51" s="45"/>
      <c r="OXD51" s="45"/>
      <c r="OXE51" s="45"/>
      <c r="OXF51" s="45"/>
      <c r="OXG51" s="45"/>
      <c r="OXH51" s="45"/>
      <c r="OXI51" s="45"/>
      <c r="OXJ51" s="45"/>
      <c r="OXK51" s="45"/>
      <c r="OXL51" s="45"/>
      <c r="OXM51" s="45"/>
      <c r="OXN51" s="45"/>
      <c r="OXO51" s="45"/>
      <c r="OXP51" s="45"/>
      <c r="OXQ51" s="45"/>
      <c r="OXR51" s="45"/>
      <c r="OXS51" s="45"/>
      <c r="OXT51" s="45"/>
      <c r="OXU51" s="45"/>
      <c r="OXV51" s="45"/>
      <c r="OXW51" s="45"/>
      <c r="OXX51" s="45"/>
      <c r="OXY51" s="45"/>
      <c r="OXZ51" s="45"/>
      <c r="OYA51" s="45"/>
      <c r="OYB51" s="45"/>
      <c r="OYC51" s="45"/>
      <c r="OYD51" s="45"/>
      <c r="OYE51" s="45"/>
      <c r="OYF51" s="45"/>
      <c r="OYG51" s="45"/>
      <c r="OYH51" s="45"/>
      <c r="OYI51" s="45"/>
      <c r="OYJ51" s="45"/>
      <c r="OYK51" s="45"/>
      <c r="OYL51" s="45"/>
      <c r="OYM51" s="45"/>
      <c r="OYN51" s="45"/>
      <c r="OYO51" s="45"/>
      <c r="OYP51" s="45"/>
      <c r="OYQ51" s="45"/>
      <c r="OYR51" s="45"/>
      <c r="OYS51" s="45"/>
      <c r="OYT51" s="45"/>
      <c r="OYU51" s="45"/>
      <c r="OYV51" s="45"/>
      <c r="OYW51" s="45"/>
      <c r="OYX51" s="45"/>
      <c r="OYY51" s="45"/>
      <c r="OYZ51" s="45"/>
      <c r="OZA51" s="45"/>
      <c r="OZB51" s="45"/>
      <c r="OZC51" s="45"/>
      <c r="OZD51" s="45"/>
      <c r="OZE51" s="45"/>
      <c r="OZF51" s="45"/>
      <c r="OZG51" s="45"/>
      <c r="OZH51" s="45"/>
      <c r="OZI51" s="45"/>
      <c r="OZJ51" s="45"/>
      <c r="OZK51" s="45"/>
      <c r="OZL51" s="45"/>
      <c r="OZM51" s="45"/>
      <c r="OZN51" s="45"/>
      <c r="OZO51" s="45"/>
      <c r="OZP51" s="45"/>
      <c r="OZQ51" s="45"/>
      <c r="OZR51" s="45"/>
      <c r="OZS51" s="45"/>
      <c r="OZT51" s="45"/>
      <c r="OZU51" s="45"/>
      <c r="OZV51" s="45"/>
      <c r="OZW51" s="45"/>
      <c r="OZX51" s="45"/>
      <c r="OZY51" s="45"/>
      <c r="OZZ51" s="45"/>
      <c r="PAA51" s="45"/>
      <c r="PAB51" s="45"/>
      <c r="PAC51" s="45"/>
      <c r="PAD51" s="45"/>
      <c r="PAE51" s="45"/>
      <c r="PAF51" s="45"/>
      <c r="PAG51" s="45"/>
      <c r="PAH51" s="45"/>
      <c r="PAI51" s="45"/>
      <c r="PAJ51" s="45"/>
      <c r="PAK51" s="45"/>
      <c r="PAL51" s="45"/>
      <c r="PAM51" s="45"/>
      <c r="PAN51" s="45"/>
      <c r="PAO51" s="45"/>
      <c r="PAP51" s="45"/>
      <c r="PAQ51" s="45"/>
      <c r="PAR51" s="45"/>
      <c r="PAS51" s="45"/>
      <c r="PAT51" s="45"/>
      <c r="PAU51" s="45"/>
      <c r="PAV51" s="45"/>
      <c r="PAW51" s="45"/>
      <c r="PAX51" s="45"/>
      <c r="PAY51" s="45"/>
      <c r="PAZ51" s="45"/>
      <c r="PBA51" s="45"/>
      <c r="PBB51" s="45"/>
      <c r="PBC51" s="45"/>
      <c r="PBD51" s="45"/>
      <c r="PBE51" s="45"/>
      <c r="PBF51" s="45"/>
      <c r="PBG51" s="45"/>
      <c r="PBH51" s="45"/>
      <c r="PBI51" s="45"/>
      <c r="PBJ51" s="45"/>
      <c r="PBK51" s="45"/>
      <c r="PBL51" s="45"/>
      <c r="PBM51" s="45"/>
      <c r="PBN51" s="45"/>
      <c r="PBO51" s="45"/>
      <c r="PBP51" s="45"/>
      <c r="PBQ51" s="45"/>
      <c r="PBR51" s="45"/>
      <c r="PBS51" s="45"/>
      <c r="PBT51" s="45"/>
      <c r="PBU51" s="45"/>
      <c r="PBV51" s="45"/>
      <c r="PBW51" s="45"/>
      <c r="PBX51" s="45"/>
      <c r="PBY51" s="45"/>
      <c r="PBZ51" s="45"/>
      <c r="PCA51" s="45"/>
      <c r="PCB51" s="45"/>
      <c r="PCC51" s="45"/>
      <c r="PCD51" s="45"/>
      <c r="PCE51" s="45"/>
      <c r="PCF51" s="45"/>
      <c r="PCG51" s="45"/>
      <c r="PCH51" s="45"/>
      <c r="PCI51" s="45"/>
      <c r="PCJ51" s="45"/>
      <c r="PCK51" s="45"/>
      <c r="PCL51" s="45"/>
      <c r="PCM51" s="45"/>
      <c r="PCN51" s="45"/>
      <c r="PCO51" s="45"/>
      <c r="PCP51" s="45"/>
      <c r="PCQ51" s="45"/>
      <c r="PCR51" s="45"/>
      <c r="PCS51" s="45"/>
      <c r="PCT51" s="45"/>
      <c r="PCU51" s="45"/>
      <c r="PCV51" s="45"/>
      <c r="PCW51" s="45"/>
      <c r="PCX51" s="45"/>
      <c r="PCY51" s="45"/>
      <c r="PCZ51" s="45"/>
      <c r="PDA51" s="45"/>
      <c r="PDB51" s="45"/>
      <c r="PDC51" s="45"/>
      <c r="PDD51" s="45"/>
      <c r="PDE51" s="45"/>
      <c r="PDF51" s="45"/>
      <c r="PDG51" s="45"/>
      <c r="PDH51" s="45"/>
      <c r="PDI51" s="45"/>
      <c r="PDJ51" s="45"/>
      <c r="PDK51" s="45"/>
      <c r="PDL51" s="45"/>
      <c r="PDM51" s="45"/>
      <c r="PDN51" s="45"/>
      <c r="PDO51" s="45"/>
      <c r="PDP51" s="45"/>
      <c r="PDQ51" s="45"/>
      <c r="PDR51" s="45"/>
      <c r="PDS51" s="45"/>
      <c r="PDT51" s="45"/>
      <c r="PDU51" s="45"/>
      <c r="PDV51" s="45"/>
      <c r="PDW51" s="45"/>
      <c r="PDX51" s="45"/>
      <c r="PDY51" s="45"/>
      <c r="PDZ51" s="45"/>
      <c r="PEA51" s="45"/>
      <c r="PEB51" s="45"/>
      <c r="PEC51" s="45"/>
      <c r="PED51" s="45"/>
      <c r="PEE51" s="45"/>
      <c r="PEF51" s="45"/>
      <c r="PEG51" s="45"/>
      <c r="PEH51" s="45"/>
      <c r="PEI51" s="45"/>
      <c r="PEJ51" s="45"/>
      <c r="PEK51" s="45"/>
      <c r="PEL51" s="45"/>
      <c r="PEM51" s="45"/>
      <c r="PEN51" s="45"/>
      <c r="PEO51" s="45"/>
      <c r="PEP51" s="45"/>
      <c r="PEQ51" s="45"/>
      <c r="PER51" s="45"/>
      <c r="PES51" s="45"/>
      <c r="PET51" s="45"/>
      <c r="PEU51" s="45"/>
      <c r="PEV51" s="45"/>
      <c r="PEW51" s="45"/>
      <c r="PEX51" s="45"/>
      <c r="PEY51" s="45"/>
      <c r="PEZ51" s="45"/>
      <c r="PFA51" s="45"/>
      <c r="PFB51" s="45"/>
      <c r="PFC51" s="45"/>
      <c r="PFD51" s="45"/>
      <c r="PFE51" s="45"/>
      <c r="PFF51" s="45"/>
      <c r="PFG51" s="45"/>
      <c r="PFH51" s="45"/>
      <c r="PFI51" s="45"/>
      <c r="PFJ51" s="45"/>
      <c r="PFK51" s="45"/>
      <c r="PFL51" s="45"/>
      <c r="PFM51" s="45"/>
      <c r="PFN51" s="45"/>
      <c r="PFO51" s="45"/>
      <c r="PFP51" s="45"/>
      <c r="PFQ51" s="45"/>
      <c r="PFR51" s="45"/>
      <c r="PFS51" s="45"/>
      <c r="PFT51" s="45"/>
      <c r="PFU51" s="45"/>
      <c r="PFV51" s="45"/>
      <c r="PFW51" s="45"/>
      <c r="PFX51" s="45"/>
      <c r="PFY51" s="45"/>
      <c r="PFZ51" s="45"/>
      <c r="PGA51" s="45"/>
      <c r="PGB51" s="45"/>
      <c r="PGC51" s="45"/>
      <c r="PGD51" s="45"/>
      <c r="PGE51" s="45"/>
      <c r="PGF51" s="45"/>
      <c r="PGG51" s="45"/>
      <c r="PGH51" s="45"/>
      <c r="PGI51" s="45"/>
      <c r="PGJ51" s="45"/>
      <c r="PGK51" s="45"/>
      <c r="PGL51" s="45"/>
      <c r="PGM51" s="45"/>
      <c r="PGN51" s="45"/>
      <c r="PGO51" s="45"/>
      <c r="PGP51" s="45"/>
      <c r="PGQ51" s="45"/>
      <c r="PGR51" s="45"/>
      <c r="PGS51" s="45"/>
      <c r="PGT51" s="45"/>
      <c r="PGU51" s="45"/>
      <c r="PGV51" s="45"/>
      <c r="PGW51" s="45"/>
      <c r="PGX51" s="45"/>
      <c r="PGY51" s="45"/>
      <c r="PGZ51" s="45"/>
      <c r="PHA51" s="45"/>
      <c r="PHB51" s="45"/>
      <c r="PHC51" s="45"/>
      <c r="PHD51" s="45"/>
      <c r="PHE51" s="45"/>
      <c r="PHF51" s="45"/>
      <c r="PHG51" s="45"/>
      <c r="PHH51" s="45"/>
      <c r="PHI51" s="45"/>
      <c r="PHJ51" s="45"/>
      <c r="PHK51" s="45"/>
      <c r="PHL51" s="45"/>
      <c r="PHM51" s="45"/>
      <c r="PHN51" s="45"/>
      <c r="PHO51" s="45"/>
      <c r="PHP51" s="45"/>
      <c r="PHQ51" s="45"/>
      <c r="PHR51" s="45"/>
      <c r="PHS51" s="45"/>
      <c r="PHT51" s="45"/>
      <c r="PHU51" s="45"/>
      <c r="PHV51" s="45"/>
      <c r="PHW51" s="45"/>
      <c r="PHX51" s="45"/>
      <c r="PHY51" s="45"/>
      <c r="PHZ51" s="45"/>
      <c r="PIA51" s="45"/>
      <c r="PIB51" s="45"/>
      <c r="PIC51" s="45"/>
      <c r="PID51" s="45"/>
      <c r="PIE51" s="45"/>
      <c r="PIF51" s="45"/>
      <c r="PIG51" s="45"/>
      <c r="PIH51" s="45"/>
      <c r="PII51" s="45"/>
      <c r="PIJ51" s="45"/>
      <c r="PIK51" s="45"/>
      <c r="PIL51" s="45"/>
      <c r="PIM51" s="45"/>
      <c r="PIN51" s="45"/>
      <c r="PIO51" s="45"/>
      <c r="PIP51" s="45"/>
      <c r="PIQ51" s="45"/>
      <c r="PIR51" s="45"/>
      <c r="PIS51" s="45"/>
      <c r="PIT51" s="45"/>
      <c r="PIU51" s="45"/>
      <c r="PIV51" s="45"/>
      <c r="PIW51" s="45"/>
      <c r="PIX51" s="45"/>
      <c r="PIY51" s="45"/>
      <c r="PIZ51" s="45"/>
      <c r="PJA51" s="45"/>
      <c r="PJB51" s="45"/>
      <c r="PJC51" s="45"/>
      <c r="PJD51" s="45"/>
      <c r="PJE51" s="45"/>
      <c r="PJF51" s="45"/>
      <c r="PJG51" s="45"/>
      <c r="PJH51" s="45"/>
      <c r="PJI51" s="45"/>
      <c r="PJJ51" s="45"/>
      <c r="PJK51" s="45"/>
      <c r="PJL51" s="45"/>
      <c r="PJM51" s="45"/>
      <c r="PJN51" s="45"/>
      <c r="PJO51" s="45"/>
      <c r="PJP51" s="45"/>
      <c r="PJQ51" s="45"/>
      <c r="PJR51" s="45"/>
      <c r="PJS51" s="45"/>
      <c r="PJT51" s="45"/>
      <c r="PJU51" s="45"/>
      <c r="PJV51" s="45"/>
      <c r="PJW51" s="45"/>
      <c r="PJX51" s="45"/>
      <c r="PJY51" s="45"/>
      <c r="PJZ51" s="45"/>
      <c r="PKA51" s="45"/>
      <c r="PKB51" s="45"/>
      <c r="PKC51" s="45"/>
      <c r="PKD51" s="45"/>
      <c r="PKE51" s="45"/>
      <c r="PKF51" s="45"/>
      <c r="PKG51" s="45"/>
      <c r="PKH51" s="45"/>
      <c r="PKI51" s="45"/>
      <c r="PKJ51" s="45"/>
      <c r="PKK51" s="45"/>
      <c r="PKL51" s="45"/>
      <c r="PKM51" s="45"/>
      <c r="PKN51" s="45"/>
      <c r="PKO51" s="45"/>
      <c r="PKP51" s="45"/>
      <c r="PKQ51" s="45"/>
      <c r="PKR51" s="45"/>
      <c r="PKS51" s="45"/>
      <c r="PKT51" s="45"/>
      <c r="PKU51" s="45"/>
      <c r="PKV51" s="45"/>
      <c r="PKW51" s="45"/>
      <c r="PKX51" s="45"/>
      <c r="PKY51" s="45"/>
      <c r="PKZ51" s="45"/>
      <c r="PLA51" s="45"/>
      <c r="PLB51" s="45"/>
      <c r="PLC51" s="45"/>
      <c r="PLD51" s="45"/>
      <c r="PLE51" s="45"/>
      <c r="PLF51" s="45"/>
      <c r="PLG51" s="45"/>
      <c r="PLH51" s="45"/>
      <c r="PLI51" s="45"/>
      <c r="PLJ51" s="45"/>
      <c r="PLK51" s="45"/>
      <c r="PLL51" s="45"/>
      <c r="PLM51" s="45"/>
      <c r="PLN51" s="45"/>
      <c r="PLO51" s="45"/>
      <c r="PLP51" s="45"/>
      <c r="PLQ51" s="45"/>
      <c r="PLR51" s="45"/>
      <c r="PLS51" s="45"/>
      <c r="PLT51" s="45"/>
      <c r="PLU51" s="45"/>
      <c r="PLV51" s="45"/>
      <c r="PLW51" s="45"/>
      <c r="PLX51" s="45"/>
      <c r="PLY51" s="45"/>
      <c r="PLZ51" s="45"/>
      <c r="PMA51" s="45"/>
      <c r="PMB51" s="45"/>
      <c r="PMC51" s="45"/>
      <c r="PMD51" s="45"/>
      <c r="PME51" s="45"/>
      <c r="PMF51" s="45"/>
      <c r="PMG51" s="45"/>
      <c r="PMH51" s="45"/>
      <c r="PMI51" s="45"/>
      <c r="PMJ51" s="45"/>
      <c r="PMK51" s="45"/>
      <c r="PML51" s="45"/>
      <c r="PMM51" s="45"/>
      <c r="PMN51" s="45"/>
      <c r="PMO51" s="45"/>
      <c r="PMP51" s="45"/>
      <c r="PMQ51" s="45"/>
      <c r="PMR51" s="45"/>
      <c r="PMS51" s="45"/>
      <c r="PMT51" s="45"/>
      <c r="PMU51" s="45"/>
      <c r="PMV51" s="45"/>
      <c r="PMW51" s="45"/>
      <c r="PMX51" s="45"/>
      <c r="PMY51" s="45"/>
      <c r="PMZ51" s="45"/>
      <c r="PNA51" s="45"/>
      <c r="PNB51" s="45"/>
      <c r="PNC51" s="45"/>
      <c r="PND51" s="45"/>
      <c r="PNE51" s="45"/>
      <c r="PNF51" s="45"/>
      <c r="PNG51" s="45"/>
      <c r="PNH51" s="45"/>
      <c r="PNI51" s="45"/>
      <c r="PNJ51" s="45"/>
      <c r="PNK51" s="45"/>
      <c r="PNL51" s="45"/>
      <c r="PNM51" s="45"/>
      <c r="PNN51" s="45"/>
      <c r="PNO51" s="45"/>
      <c r="PNP51" s="45"/>
      <c r="PNQ51" s="45"/>
      <c r="PNR51" s="45"/>
      <c r="PNS51" s="45"/>
      <c r="PNT51" s="45"/>
      <c r="PNU51" s="45"/>
      <c r="PNV51" s="45"/>
      <c r="PNW51" s="45"/>
      <c r="PNX51" s="45"/>
      <c r="PNY51" s="45"/>
      <c r="PNZ51" s="45"/>
      <c r="POA51" s="45"/>
      <c r="POB51" s="45"/>
      <c r="POC51" s="45"/>
      <c r="POD51" s="45"/>
      <c r="POE51" s="45"/>
      <c r="POF51" s="45"/>
      <c r="POG51" s="45"/>
      <c r="POH51" s="45"/>
      <c r="POI51" s="45"/>
      <c r="POJ51" s="45"/>
      <c r="POK51" s="45"/>
      <c r="POL51" s="45"/>
      <c r="POM51" s="45"/>
      <c r="PON51" s="45"/>
      <c r="POO51" s="45"/>
      <c r="POP51" s="45"/>
      <c r="POQ51" s="45"/>
      <c r="POR51" s="45"/>
      <c r="POS51" s="45"/>
      <c r="POT51" s="45"/>
      <c r="POU51" s="45"/>
      <c r="POV51" s="45"/>
      <c r="POW51" s="45"/>
      <c r="POX51" s="45"/>
      <c r="POY51" s="45"/>
      <c r="POZ51" s="45"/>
      <c r="PPA51" s="45"/>
      <c r="PPB51" s="45"/>
      <c r="PPC51" s="45"/>
      <c r="PPD51" s="45"/>
      <c r="PPE51" s="45"/>
      <c r="PPF51" s="45"/>
      <c r="PPG51" s="45"/>
      <c r="PPH51" s="45"/>
      <c r="PPI51" s="45"/>
      <c r="PPJ51" s="45"/>
      <c r="PPK51" s="45"/>
      <c r="PPL51" s="45"/>
      <c r="PPM51" s="45"/>
      <c r="PPN51" s="45"/>
      <c r="PPO51" s="45"/>
      <c r="PPP51" s="45"/>
      <c r="PPQ51" s="45"/>
      <c r="PPR51" s="45"/>
      <c r="PPS51" s="45"/>
      <c r="PPT51" s="45"/>
      <c r="PPU51" s="45"/>
      <c r="PPV51" s="45"/>
      <c r="PPW51" s="45"/>
      <c r="PPX51" s="45"/>
      <c r="PPY51" s="45"/>
      <c r="PPZ51" s="45"/>
      <c r="PQA51" s="45"/>
      <c r="PQB51" s="45"/>
      <c r="PQC51" s="45"/>
      <c r="PQD51" s="45"/>
      <c r="PQE51" s="45"/>
      <c r="PQF51" s="45"/>
      <c r="PQG51" s="45"/>
      <c r="PQH51" s="45"/>
      <c r="PQI51" s="45"/>
      <c r="PQJ51" s="45"/>
      <c r="PQK51" s="45"/>
      <c r="PQL51" s="45"/>
      <c r="PQM51" s="45"/>
      <c r="PQN51" s="45"/>
      <c r="PQO51" s="45"/>
      <c r="PQP51" s="45"/>
      <c r="PQQ51" s="45"/>
      <c r="PQR51" s="45"/>
      <c r="PQS51" s="45"/>
      <c r="PQT51" s="45"/>
      <c r="PQU51" s="45"/>
      <c r="PQV51" s="45"/>
      <c r="PQW51" s="45"/>
      <c r="PQX51" s="45"/>
      <c r="PQY51" s="45"/>
      <c r="PQZ51" s="45"/>
      <c r="PRA51" s="45"/>
      <c r="PRB51" s="45"/>
      <c r="PRC51" s="45"/>
      <c r="PRD51" s="45"/>
      <c r="PRE51" s="45"/>
      <c r="PRF51" s="45"/>
      <c r="PRG51" s="45"/>
      <c r="PRH51" s="45"/>
      <c r="PRI51" s="45"/>
      <c r="PRJ51" s="45"/>
      <c r="PRK51" s="45"/>
      <c r="PRL51" s="45"/>
      <c r="PRM51" s="45"/>
      <c r="PRN51" s="45"/>
      <c r="PRO51" s="45"/>
      <c r="PRP51" s="45"/>
      <c r="PRQ51" s="45"/>
      <c r="PRR51" s="45"/>
      <c r="PRS51" s="45"/>
      <c r="PRT51" s="45"/>
      <c r="PRU51" s="45"/>
      <c r="PRV51" s="45"/>
      <c r="PRW51" s="45"/>
      <c r="PRX51" s="45"/>
      <c r="PRY51" s="45"/>
      <c r="PRZ51" s="45"/>
      <c r="PSA51" s="45"/>
      <c r="PSB51" s="45"/>
      <c r="PSC51" s="45"/>
      <c r="PSD51" s="45"/>
      <c r="PSE51" s="45"/>
      <c r="PSF51" s="45"/>
      <c r="PSG51" s="45"/>
      <c r="PSH51" s="45"/>
      <c r="PSI51" s="45"/>
      <c r="PSJ51" s="45"/>
      <c r="PSK51" s="45"/>
      <c r="PSL51" s="45"/>
      <c r="PSM51" s="45"/>
      <c r="PSN51" s="45"/>
      <c r="PSO51" s="45"/>
      <c r="PSP51" s="45"/>
      <c r="PSQ51" s="45"/>
      <c r="PSR51" s="45"/>
      <c r="PSS51" s="45"/>
      <c r="PST51" s="45"/>
      <c r="PSU51" s="45"/>
      <c r="PSV51" s="45"/>
      <c r="PSW51" s="45"/>
      <c r="PSX51" s="45"/>
      <c r="PSY51" s="45"/>
      <c r="PSZ51" s="45"/>
      <c r="PTA51" s="45"/>
      <c r="PTB51" s="45"/>
      <c r="PTC51" s="45"/>
      <c r="PTD51" s="45"/>
      <c r="PTE51" s="45"/>
      <c r="PTF51" s="45"/>
      <c r="PTG51" s="45"/>
      <c r="PTH51" s="45"/>
      <c r="PTI51" s="45"/>
      <c r="PTJ51" s="45"/>
      <c r="PTK51" s="45"/>
      <c r="PTL51" s="45"/>
      <c r="PTM51" s="45"/>
      <c r="PTN51" s="45"/>
      <c r="PTO51" s="45"/>
      <c r="PTP51" s="45"/>
      <c r="PTQ51" s="45"/>
      <c r="PTR51" s="45"/>
      <c r="PTS51" s="45"/>
      <c r="PTT51" s="45"/>
      <c r="PTU51" s="45"/>
      <c r="PTV51" s="45"/>
      <c r="PTW51" s="45"/>
      <c r="PTX51" s="45"/>
      <c r="PTY51" s="45"/>
      <c r="PTZ51" s="45"/>
      <c r="PUA51" s="45"/>
      <c r="PUB51" s="45"/>
      <c r="PUC51" s="45"/>
      <c r="PUD51" s="45"/>
      <c r="PUE51" s="45"/>
      <c r="PUF51" s="45"/>
      <c r="PUG51" s="45"/>
      <c r="PUH51" s="45"/>
      <c r="PUI51" s="45"/>
      <c r="PUJ51" s="45"/>
      <c r="PUK51" s="45"/>
      <c r="PUL51" s="45"/>
      <c r="PUM51" s="45"/>
      <c r="PUN51" s="45"/>
      <c r="PUO51" s="45"/>
      <c r="PUP51" s="45"/>
      <c r="PUQ51" s="45"/>
      <c r="PUR51" s="45"/>
      <c r="PUS51" s="45"/>
      <c r="PUT51" s="45"/>
      <c r="PUU51" s="45"/>
      <c r="PUV51" s="45"/>
      <c r="PUW51" s="45"/>
      <c r="PUX51" s="45"/>
      <c r="PUY51" s="45"/>
      <c r="PUZ51" s="45"/>
      <c r="PVA51" s="45"/>
      <c r="PVB51" s="45"/>
      <c r="PVC51" s="45"/>
      <c r="PVD51" s="45"/>
      <c r="PVE51" s="45"/>
      <c r="PVF51" s="45"/>
      <c r="PVG51" s="45"/>
      <c r="PVH51" s="45"/>
      <c r="PVI51" s="45"/>
      <c r="PVJ51" s="45"/>
      <c r="PVK51" s="45"/>
      <c r="PVL51" s="45"/>
      <c r="PVM51" s="45"/>
      <c r="PVN51" s="45"/>
      <c r="PVO51" s="45"/>
      <c r="PVP51" s="45"/>
      <c r="PVQ51" s="45"/>
      <c r="PVR51" s="45"/>
      <c r="PVS51" s="45"/>
      <c r="PVT51" s="45"/>
      <c r="PVU51" s="45"/>
      <c r="PVV51" s="45"/>
      <c r="PVW51" s="45"/>
      <c r="PVX51" s="45"/>
      <c r="PVY51" s="45"/>
      <c r="PVZ51" s="45"/>
      <c r="PWA51" s="45"/>
      <c r="PWB51" s="45"/>
      <c r="PWC51" s="45"/>
      <c r="PWD51" s="45"/>
      <c r="PWE51" s="45"/>
      <c r="PWF51" s="45"/>
      <c r="PWG51" s="45"/>
      <c r="PWH51" s="45"/>
      <c r="PWI51" s="45"/>
      <c r="PWJ51" s="45"/>
      <c r="PWK51" s="45"/>
      <c r="PWL51" s="45"/>
      <c r="PWM51" s="45"/>
      <c r="PWN51" s="45"/>
      <c r="PWO51" s="45"/>
      <c r="PWP51" s="45"/>
      <c r="PWQ51" s="45"/>
      <c r="PWR51" s="45"/>
      <c r="PWS51" s="45"/>
      <c r="PWT51" s="45"/>
      <c r="PWU51" s="45"/>
      <c r="PWV51" s="45"/>
      <c r="PWW51" s="45"/>
      <c r="PWX51" s="45"/>
      <c r="PWY51" s="45"/>
      <c r="PWZ51" s="45"/>
      <c r="PXA51" s="45"/>
      <c r="PXB51" s="45"/>
      <c r="PXC51" s="45"/>
      <c r="PXD51" s="45"/>
      <c r="PXE51" s="45"/>
      <c r="PXF51" s="45"/>
      <c r="PXG51" s="45"/>
      <c r="PXH51" s="45"/>
      <c r="PXI51" s="45"/>
      <c r="PXJ51" s="45"/>
      <c r="PXK51" s="45"/>
      <c r="PXL51" s="45"/>
      <c r="PXM51" s="45"/>
      <c r="PXN51" s="45"/>
      <c r="PXO51" s="45"/>
      <c r="PXP51" s="45"/>
      <c r="PXQ51" s="45"/>
      <c r="PXR51" s="45"/>
      <c r="PXS51" s="45"/>
      <c r="PXT51" s="45"/>
      <c r="PXU51" s="45"/>
      <c r="PXV51" s="45"/>
      <c r="PXW51" s="45"/>
      <c r="PXX51" s="45"/>
      <c r="PXY51" s="45"/>
      <c r="PXZ51" s="45"/>
      <c r="PYA51" s="45"/>
      <c r="PYB51" s="45"/>
      <c r="PYC51" s="45"/>
      <c r="PYD51" s="45"/>
      <c r="PYE51" s="45"/>
      <c r="PYF51" s="45"/>
      <c r="PYG51" s="45"/>
      <c r="PYH51" s="45"/>
      <c r="PYI51" s="45"/>
      <c r="PYJ51" s="45"/>
      <c r="PYK51" s="45"/>
      <c r="PYL51" s="45"/>
      <c r="PYM51" s="45"/>
      <c r="PYN51" s="45"/>
      <c r="PYO51" s="45"/>
      <c r="PYP51" s="45"/>
      <c r="PYQ51" s="45"/>
      <c r="PYR51" s="45"/>
      <c r="PYS51" s="45"/>
      <c r="PYT51" s="45"/>
      <c r="PYU51" s="45"/>
      <c r="PYV51" s="45"/>
      <c r="PYW51" s="45"/>
      <c r="PYX51" s="45"/>
      <c r="PYY51" s="45"/>
      <c r="PYZ51" s="45"/>
      <c r="PZA51" s="45"/>
      <c r="PZB51" s="45"/>
      <c r="PZC51" s="45"/>
      <c r="PZD51" s="45"/>
      <c r="PZE51" s="45"/>
      <c r="PZF51" s="45"/>
      <c r="PZG51" s="45"/>
      <c r="PZH51" s="45"/>
      <c r="PZI51" s="45"/>
      <c r="PZJ51" s="45"/>
      <c r="PZK51" s="45"/>
      <c r="PZL51" s="45"/>
      <c r="PZM51" s="45"/>
      <c r="PZN51" s="45"/>
      <c r="PZO51" s="45"/>
      <c r="PZP51" s="45"/>
      <c r="PZQ51" s="45"/>
      <c r="PZR51" s="45"/>
      <c r="PZS51" s="45"/>
      <c r="PZT51" s="45"/>
      <c r="PZU51" s="45"/>
      <c r="PZV51" s="45"/>
      <c r="PZW51" s="45"/>
      <c r="PZX51" s="45"/>
      <c r="PZY51" s="45"/>
      <c r="PZZ51" s="45"/>
      <c r="QAA51" s="45"/>
      <c r="QAB51" s="45"/>
      <c r="QAC51" s="45"/>
      <c r="QAD51" s="45"/>
      <c r="QAE51" s="45"/>
      <c r="QAF51" s="45"/>
      <c r="QAG51" s="45"/>
      <c r="QAH51" s="45"/>
      <c r="QAI51" s="45"/>
      <c r="QAJ51" s="45"/>
      <c r="QAK51" s="45"/>
      <c r="QAL51" s="45"/>
      <c r="QAM51" s="45"/>
      <c r="QAN51" s="45"/>
      <c r="QAO51" s="45"/>
      <c r="QAP51" s="45"/>
      <c r="QAQ51" s="45"/>
      <c r="QAR51" s="45"/>
      <c r="QAS51" s="45"/>
      <c r="QAT51" s="45"/>
      <c r="QAU51" s="45"/>
      <c r="QAV51" s="45"/>
      <c r="QAW51" s="45"/>
      <c r="QAX51" s="45"/>
      <c r="QAY51" s="45"/>
      <c r="QAZ51" s="45"/>
      <c r="QBA51" s="45"/>
      <c r="QBB51" s="45"/>
      <c r="QBC51" s="45"/>
      <c r="QBD51" s="45"/>
      <c r="QBE51" s="45"/>
      <c r="QBF51" s="45"/>
      <c r="QBG51" s="45"/>
      <c r="QBH51" s="45"/>
      <c r="QBI51" s="45"/>
      <c r="QBJ51" s="45"/>
      <c r="QBK51" s="45"/>
      <c r="QBL51" s="45"/>
      <c r="QBM51" s="45"/>
      <c r="QBN51" s="45"/>
      <c r="QBO51" s="45"/>
      <c r="QBP51" s="45"/>
      <c r="QBQ51" s="45"/>
      <c r="QBR51" s="45"/>
      <c r="QBS51" s="45"/>
      <c r="QBT51" s="45"/>
      <c r="QBU51" s="45"/>
      <c r="QBV51" s="45"/>
      <c r="QBW51" s="45"/>
      <c r="QBX51" s="45"/>
      <c r="QBY51" s="45"/>
      <c r="QBZ51" s="45"/>
      <c r="QCA51" s="45"/>
      <c r="QCB51" s="45"/>
      <c r="QCC51" s="45"/>
      <c r="QCD51" s="45"/>
      <c r="QCE51" s="45"/>
      <c r="QCF51" s="45"/>
      <c r="QCG51" s="45"/>
      <c r="QCH51" s="45"/>
      <c r="QCI51" s="45"/>
      <c r="QCJ51" s="45"/>
      <c r="QCK51" s="45"/>
      <c r="QCL51" s="45"/>
      <c r="QCM51" s="45"/>
      <c r="QCN51" s="45"/>
      <c r="QCO51" s="45"/>
      <c r="QCP51" s="45"/>
      <c r="QCQ51" s="45"/>
      <c r="QCR51" s="45"/>
      <c r="QCS51" s="45"/>
      <c r="QCT51" s="45"/>
      <c r="QCU51" s="45"/>
      <c r="QCV51" s="45"/>
      <c r="QCW51" s="45"/>
      <c r="QCX51" s="45"/>
      <c r="QCY51" s="45"/>
      <c r="QCZ51" s="45"/>
      <c r="QDA51" s="45"/>
      <c r="QDB51" s="45"/>
      <c r="QDC51" s="45"/>
      <c r="QDD51" s="45"/>
      <c r="QDE51" s="45"/>
      <c r="QDF51" s="45"/>
      <c r="QDG51" s="45"/>
      <c r="QDH51" s="45"/>
      <c r="QDI51" s="45"/>
      <c r="QDJ51" s="45"/>
      <c r="QDK51" s="45"/>
      <c r="QDL51" s="45"/>
      <c r="QDM51" s="45"/>
      <c r="QDN51" s="45"/>
      <c r="QDO51" s="45"/>
      <c r="QDP51" s="45"/>
      <c r="QDQ51" s="45"/>
      <c r="QDR51" s="45"/>
      <c r="QDS51" s="45"/>
      <c r="QDT51" s="45"/>
      <c r="QDU51" s="45"/>
      <c r="QDV51" s="45"/>
      <c r="QDW51" s="45"/>
      <c r="QDX51" s="45"/>
      <c r="QDY51" s="45"/>
      <c r="QDZ51" s="45"/>
      <c r="QEA51" s="45"/>
      <c r="QEB51" s="45"/>
      <c r="QEC51" s="45"/>
      <c r="QED51" s="45"/>
      <c r="QEE51" s="45"/>
      <c r="QEF51" s="45"/>
      <c r="QEG51" s="45"/>
      <c r="QEH51" s="45"/>
      <c r="QEI51" s="45"/>
      <c r="QEJ51" s="45"/>
      <c r="QEK51" s="45"/>
      <c r="QEL51" s="45"/>
      <c r="QEM51" s="45"/>
      <c r="QEN51" s="45"/>
      <c r="QEO51" s="45"/>
      <c r="QEP51" s="45"/>
      <c r="QEQ51" s="45"/>
      <c r="QER51" s="45"/>
      <c r="QES51" s="45"/>
      <c r="QET51" s="45"/>
      <c r="QEU51" s="45"/>
      <c r="QEV51" s="45"/>
      <c r="QEW51" s="45"/>
      <c r="QEX51" s="45"/>
      <c r="QEY51" s="45"/>
      <c r="QEZ51" s="45"/>
      <c r="QFA51" s="45"/>
      <c r="QFB51" s="45"/>
      <c r="QFC51" s="45"/>
      <c r="QFD51" s="45"/>
      <c r="QFE51" s="45"/>
      <c r="QFF51" s="45"/>
      <c r="QFG51" s="45"/>
      <c r="QFH51" s="45"/>
      <c r="QFI51" s="45"/>
      <c r="QFJ51" s="45"/>
      <c r="QFK51" s="45"/>
      <c r="QFL51" s="45"/>
      <c r="QFM51" s="45"/>
      <c r="QFN51" s="45"/>
      <c r="QFO51" s="45"/>
      <c r="QFP51" s="45"/>
      <c r="QFQ51" s="45"/>
      <c r="QFR51" s="45"/>
      <c r="QFS51" s="45"/>
      <c r="QFT51" s="45"/>
      <c r="QFU51" s="45"/>
      <c r="QFV51" s="45"/>
      <c r="QFW51" s="45"/>
      <c r="QFX51" s="45"/>
      <c r="QFY51" s="45"/>
      <c r="QFZ51" s="45"/>
      <c r="QGA51" s="45"/>
      <c r="QGB51" s="45"/>
      <c r="QGC51" s="45"/>
      <c r="QGD51" s="45"/>
      <c r="QGE51" s="45"/>
      <c r="QGF51" s="45"/>
      <c r="QGG51" s="45"/>
      <c r="QGH51" s="45"/>
      <c r="QGI51" s="45"/>
      <c r="QGJ51" s="45"/>
      <c r="QGK51" s="45"/>
      <c r="QGL51" s="45"/>
      <c r="QGM51" s="45"/>
      <c r="QGN51" s="45"/>
      <c r="QGO51" s="45"/>
      <c r="QGP51" s="45"/>
      <c r="QGQ51" s="45"/>
      <c r="QGR51" s="45"/>
      <c r="QGS51" s="45"/>
      <c r="QGT51" s="45"/>
      <c r="QGU51" s="45"/>
      <c r="QGV51" s="45"/>
      <c r="QGW51" s="45"/>
      <c r="QGX51" s="45"/>
      <c r="QGY51" s="45"/>
      <c r="QGZ51" s="45"/>
      <c r="QHA51" s="45"/>
      <c r="QHB51" s="45"/>
      <c r="QHC51" s="45"/>
      <c r="QHD51" s="45"/>
      <c r="QHE51" s="45"/>
      <c r="QHF51" s="45"/>
      <c r="QHG51" s="45"/>
      <c r="QHH51" s="45"/>
      <c r="QHI51" s="45"/>
      <c r="QHJ51" s="45"/>
      <c r="QHK51" s="45"/>
      <c r="QHL51" s="45"/>
      <c r="QHM51" s="45"/>
      <c r="QHN51" s="45"/>
      <c r="QHO51" s="45"/>
      <c r="QHP51" s="45"/>
      <c r="QHQ51" s="45"/>
      <c r="QHR51" s="45"/>
      <c r="QHS51" s="45"/>
      <c r="QHT51" s="45"/>
      <c r="QHU51" s="45"/>
      <c r="QHV51" s="45"/>
      <c r="QHW51" s="45"/>
      <c r="QHX51" s="45"/>
      <c r="QHY51" s="45"/>
      <c r="QHZ51" s="45"/>
      <c r="QIA51" s="45"/>
      <c r="QIB51" s="45"/>
      <c r="QIC51" s="45"/>
      <c r="QID51" s="45"/>
      <c r="QIE51" s="45"/>
      <c r="QIF51" s="45"/>
      <c r="QIG51" s="45"/>
      <c r="QIH51" s="45"/>
      <c r="QII51" s="45"/>
      <c r="QIJ51" s="45"/>
      <c r="QIK51" s="45"/>
      <c r="QIL51" s="45"/>
      <c r="QIM51" s="45"/>
      <c r="QIN51" s="45"/>
      <c r="QIO51" s="45"/>
      <c r="QIP51" s="45"/>
      <c r="QIQ51" s="45"/>
      <c r="QIR51" s="45"/>
      <c r="QIS51" s="45"/>
      <c r="QIT51" s="45"/>
      <c r="QIU51" s="45"/>
      <c r="QIV51" s="45"/>
      <c r="QIW51" s="45"/>
      <c r="QIX51" s="45"/>
      <c r="QIY51" s="45"/>
      <c r="QIZ51" s="45"/>
      <c r="QJA51" s="45"/>
      <c r="QJB51" s="45"/>
      <c r="QJC51" s="45"/>
      <c r="QJD51" s="45"/>
      <c r="QJE51" s="45"/>
      <c r="QJF51" s="45"/>
      <c r="QJG51" s="45"/>
      <c r="QJH51" s="45"/>
      <c r="QJI51" s="45"/>
      <c r="QJJ51" s="45"/>
      <c r="QJK51" s="45"/>
      <c r="QJL51" s="45"/>
      <c r="QJM51" s="45"/>
      <c r="QJN51" s="45"/>
      <c r="QJO51" s="45"/>
      <c r="QJP51" s="45"/>
      <c r="QJQ51" s="45"/>
      <c r="QJR51" s="45"/>
      <c r="QJS51" s="45"/>
      <c r="QJT51" s="45"/>
      <c r="QJU51" s="45"/>
      <c r="QJV51" s="45"/>
      <c r="QJW51" s="45"/>
      <c r="QJX51" s="45"/>
      <c r="QJY51" s="45"/>
      <c r="QJZ51" s="45"/>
      <c r="QKA51" s="45"/>
      <c r="QKB51" s="45"/>
      <c r="QKC51" s="45"/>
      <c r="QKD51" s="45"/>
      <c r="QKE51" s="45"/>
      <c r="QKF51" s="45"/>
      <c r="QKG51" s="45"/>
      <c r="QKH51" s="45"/>
      <c r="QKI51" s="45"/>
      <c r="QKJ51" s="45"/>
      <c r="QKK51" s="45"/>
      <c r="QKL51" s="45"/>
      <c r="QKM51" s="45"/>
      <c r="QKN51" s="45"/>
      <c r="QKO51" s="45"/>
      <c r="QKP51" s="45"/>
      <c r="QKQ51" s="45"/>
      <c r="QKR51" s="45"/>
      <c r="QKS51" s="45"/>
      <c r="QKT51" s="45"/>
      <c r="QKU51" s="45"/>
      <c r="QKV51" s="45"/>
      <c r="QKW51" s="45"/>
      <c r="QKX51" s="45"/>
      <c r="QKY51" s="45"/>
      <c r="QKZ51" s="45"/>
      <c r="QLA51" s="45"/>
      <c r="QLB51" s="45"/>
      <c r="QLC51" s="45"/>
      <c r="QLD51" s="45"/>
      <c r="QLE51" s="45"/>
      <c r="QLF51" s="45"/>
      <c r="QLG51" s="45"/>
      <c r="QLH51" s="45"/>
      <c r="QLI51" s="45"/>
      <c r="QLJ51" s="45"/>
      <c r="QLK51" s="45"/>
      <c r="QLL51" s="45"/>
      <c r="QLM51" s="45"/>
      <c r="QLN51" s="45"/>
      <c r="QLO51" s="45"/>
      <c r="QLP51" s="45"/>
      <c r="QLQ51" s="45"/>
      <c r="QLR51" s="45"/>
      <c r="QLS51" s="45"/>
      <c r="QLT51" s="45"/>
      <c r="QLU51" s="45"/>
      <c r="QLV51" s="45"/>
      <c r="QLW51" s="45"/>
      <c r="QLX51" s="45"/>
      <c r="QLY51" s="45"/>
      <c r="QLZ51" s="45"/>
      <c r="QMA51" s="45"/>
      <c r="QMB51" s="45"/>
      <c r="QMC51" s="45"/>
      <c r="QMD51" s="45"/>
      <c r="QME51" s="45"/>
      <c r="QMF51" s="45"/>
      <c r="QMG51" s="45"/>
      <c r="QMH51" s="45"/>
      <c r="QMI51" s="45"/>
      <c r="QMJ51" s="45"/>
      <c r="QMK51" s="45"/>
      <c r="QML51" s="45"/>
      <c r="QMM51" s="45"/>
      <c r="QMN51" s="45"/>
      <c r="QMO51" s="45"/>
      <c r="QMP51" s="45"/>
      <c r="QMQ51" s="45"/>
      <c r="QMR51" s="45"/>
      <c r="QMS51" s="45"/>
      <c r="QMT51" s="45"/>
      <c r="QMU51" s="45"/>
      <c r="QMV51" s="45"/>
      <c r="QMW51" s="45"/>
      <c r="QMX51" s="45"/>
      <c r="QMY51" s="45"/>
      <c r="QMZ51" s="45"/>
      <c r="QNA51" s="45"/>
      <c r="QNB51" s="45"/>
      <c r="QNC51" s="45"/>
      <c r="QND51" s="45"/>
      <c r="QNE51" s="45"/>
      <c r="QNF51" s="45"/>
      <c r="QNG51" s="45"/>
      <c r="QNH51" s="45"/>
      <c r="QNI51" s="45"/>
      <c r="QNJ51" s="45"/>
      <c r="QNK51" s="45"/>
      <c r="QNL51" s="45"/>
      <c r="QNM51" s="45"/>
      <c r="QNN51" s="45"/>
      <c r="QNO51" s="45"/>
      <c r="QNP51" s="45"/>
      <c r="QNQ51" s="45"/>
      <c r="QNR51" s="45"/>
      <c r="QNS51" s="45"/>
      <c r="QNT51" s="45"/>
      <c r="QNU51" s="45"/>
      <c r="QNV51" s="45"/>
      <c r="QNW51" s="45"/>
      <c r="QNX51" s="45"/>
      <c r="QNY51" s="45"/>
      <c r="QNZ51" s="45"/>
      <c r="QOA51" s="45"/>
      <c r="QOB51" s="45"/>
      <c r="QOC51" s="45"/>
      <c r="QOD51" s="45"/>
      <c r="QOE51" s="45"/>
      <c r="QOF51" s="45"/>
      <c r="QOG51" s="45"/>
      <c r="QOH51" s="45"/>
      <c r="QOI51" s="45"/>
      <c r="QOJ51" s="45"/>
      <c r="QOK51" s="45"/>
      <c r="QOL51" s="45"/>
      <c r="QOM51" s="45"/>
      <c r="QON51" s="45"/>
      <c r="QOO51" s="45"/>
      <c r="QOP51" s="45"/>
      <c r="QOQ51" s="45"/>
      <c r="QOR51" s="45"/>
      <c r="QOS51" s="45"/>
      <c r="QOT51" s="45"/>
      <c r="QOU51" s="45"/>
      <c r="QOV51" s="45"/>
      <c r="QOW51" s="45"/>
      <c r="QOX51" s="45"/>
      <c r="QOY51" s="45"/>
      <c r="QOZ51" s="45"/>
      <c r="QPA51" s="45"/>
      <c r="QPB51" s="45"/>
      <c r="QPC51" s="45"/>
      <c r="QPD51" s="45"/>
      <c r="QPE51" s="45"/>
      <c r="QPF51" s="45"/>
      <c r="QPG51" s="45"/>
      <c r="QPH51" s="45"/>
      <c r="QPI51" s="45"/>
      <c r="QPJ51" s="45"/>
      <c r="QPK51" s="45"/>
      <c r="QPL51" s="45"/>
      <c r="QPM51" s="45"/>
      <c r="QPN51" s="45"/>
      <c r="QPO51" s="45"/>
      <c r="QPP51" s="45"/>
      <c r="QPQ51" s="45"/>
      <c r="QPR51" s="45"/>
      <c r="QPS51" s="45"/>
      <c r="QPT51" s="45"/>
      <c r="QPU51" s="45"/>
      <c r="QPV51" s="45"/>
      <c r="QPW51" s="45"/>
      <c r="QPX51" s="45"/>
      <c r="QPY51" s="45"/>
      <c r="QPZ51" s="45"/>
      <c r="QQA51" s="45"/>
      <c r="QQB51" s="45"/>
      <c r="QQC51" s="45"/>
      <c r="QQD51" s="45"/>
      <c r="QQE51" s="45"/>
      <c r="QQF51" s="45"/>
      <c r="QQG51" s="45"/>
      <c r="QQH51" s="45"/>
      <c r="QQI51" s="45"/>
      <c r="QQJ51" s="45"/>
      <c r="QQK51" s="45"/>
      <c r="QQL51" s="45"/>
      <c r="QQM51" s="45"/>
      <c r="QQN51" s="45"/>
      <c r="QQO51" s="45"/>
      <c r="QQP51" s="45"/>
      <c r="QQQ51" s="45"/>
      <c r="QQR51" s="45"/>
      <c r="QQS51" s="45"/>
      <c r="QQT51" s="45"/>
      <c r="QQU51" s="45"/>
      <c r="QQV51" s="45"/>
      <c r="QQW51" s="45"/>
      <c r="QQX51" s="45"/>
      <c r="QQY51" s="45"/>
      <c r="QQZ51" s="45"/>
      <c r="QRA51" s="45"/>
      <c r="QRB51" s="45"/>
      <c r="QRC51" s="45"/>
      <c r="QRD51" s="45"/>
      <c r="QRE51" s="45"/>
      <c r="QRF51" s="45"/>
      <c r="QRG51" s="45"/>
      <c r="QRH51" s="45"/>
      <c r="QRI51" s="45"/>
      <c r="QRJ51" s="45"/>
      <c r="QRK51" s="45"/>
      <c r="QRL51" s="45"/>
      <c r="QRM51" s="45"/>
      <c r="QRN51" s="45"/>
      <c r="QRO51" s="45"/>
      <c r="QRP51" s="45"/>
      <c r="QRQ51" s="45"/>
      <c r="QRR51" s="45"/>
      <c r="QRS51" s="45"/>
      <c r="QRT51" s="45"/>
      <c r="QRU51" s="45"/>
      <c r="QRV51" s="45"/>
      <c r="QRW51" s="45"/>
      <c r="QRX51" s="45"/>
      <c r="QRY51" s="45"/>
      <c r="QRZ51" s="45"/>
      <c r="QSA51" s="45"/>
      <c r="QSB51" s="45"/>
      <c r="QSC51" s="45"/>
      <c r="QSD51" s="45"/>
      <c r="QSE51" s="45"/>
      <c r="QSF51" s="45"/>
      <c r="QSG51" s="45"/>
      <c r="QSH51" s="45"/>
      <c r="QSI51" s="45"/>
      <c r="QSJ51" s="45"/>
      <c r="QSK51" s="45"/>
      <c r="QSL51" s="45"/>
      <c r="QSM51" s="45"/>
      <c r="QSN51" s="45"/>
      <c r="QSO51" s="45"/>
      <c r="QSP51" s="45"/>
      <c r="QSQ51" s="45"/>
      <c r="QSR51" s="45"/>
      <c r="QSS51" s="45"/>
      <c r="QST51" s="45"/>
      <c r="QSU51" s="45"/>
      <c r="QSV51" s="45"/>
      <c r="QSW51" s="45"/>
      <c r="QSX51" s="45"/>
      <c r="QSY51" s="45"/>
      <c r="QSZ51" s="45"/>
      <c r="QTA51" s="45"/>
      <c r="QTB51" s="45"/>
      <c r="QTC51" s="45"/>
      <c r="QTD51" s="45"/>
      <c r="QTE51" s="45"/>
      <c r="QTF51" s="45"/>
      <c r="QTG51" s="45"/>
      <c r="QTH51" s="45"/>
      <c r="QTI51" s="45"/>
      <c r="QTJ51" s="45"/>
      <c r="QTK51" s="45"/>
      <c r="QTL51" s="45"/>
      <c r="QTM51" s="45"/>
      <c r="QTN51" s="45"/>
      <c r="QTO51" s="45"/>
      <c r="QTP51" s="45"/>
      <c r="QTQ51" s="45"/>
      <c r="QTR51" s="45"/>
      <c r="QTS51" s="45"/>
      <c r="QTT51" s="45"/>
      <c r="QTU51" s="45"/>
      <c r="QTV51" s="45"/>
      <c r="QTW51" s="45"/>
      <c r="QTX51" s="45"/>
      <c r="QTY51" s="45"/>
      <c r="QTZ51" s="45"/>
      <c r="QUA51" s="45"/>
      <c r="QUB51" s="45"/>
      <c r="QUC51" s="45"/>
      <c r="QUD51" s="45"/>
      <c r="QUE51" s="45"/>
      <c r="QUF51" s="45"/>
      <c r="QUG51" s="45"/>
      <c r="QUH51" s="45"/>
      <c r="QUI51" s="45"/>
      <c r="QUJ51" s="45"/>
      <c r="QUK51" s="45"/>
      <c r="QUL51" s="45"/>
      <c r="QUM51" s="45"/>
      <c r="QUN51" s="45"/>
      <c r="QUO51" s="45"/>
      <c r="QUP51" s="45"/>
      <c r="QUQ51" s="45"/>
      <c r="QUR51" s="45"/>
      <c r="QUS51" s="45"/>
      <c r="QUT51" s="45"/>
      <c r="QUU51" s="45"/>
      <c r="QUV51" s="45"/>
      <c r="QUW51" s="45"/>
      <c r="QUX51" s="45"/>
      <c r="QUY51" s="45"/>
      <c r="QUZ51" s="45"/>
      <c r="QVA51" s="45"/>
      <c r="QVB51" s="45"/>
      <c r="QVC51" s="45"/>
      <c r="QVD51" s="45"/>
      <c r="QVE51" s="45"/>
      <c r="QVF51" s="45"/>
      <c r="QVG51" s="45"/>
      <c r="QVH51" s="45"/>
      <c r="QVI51" s="45"/>
      <c r="QVJ51" s="45"/>
      <c r="QVK51" s="45"/>
      <c r="QVL51" s="45"/>
      <c r="QVM51" s="45"/>
      <c r="QVN51" s="45"/>
      <c r="QVO51" s="45"/>
      <c r="QVP51" s="45"/>
      <c r="QVQ51" s="45"/>
      <c r="QVR51" s="45"/>
      <c r="QVS51" s="45"/>
      <c r="QVT51" s="45"/>
      <c r="QVU51" s="45"/>
      <c r="QVV51" s="45"/>
      <c r="QVW51" s="45"/>
      <c r="QVX51" s="45"/>
      <c r="QVY51" s="45"/>
      <c r="QVZ51" s="45"/>
      <c r="QWA51" s="45"/>
      <c r="QWB51" s="45"/>
      <c r="QWC51" s="45"/>
      <c r="QWD51" s="45"/>
      <c r="QWE51" s="45"/>
      <c r="QWF51" s="45"/>
      <c r="QWG51" s="45"/>
      <c r="QWH51" s="45"/>
      <c r="QWI51" s="45"/>
      <c r="QWJ51" s="45"/>
      <c r="QWK51" s="45"/>
      <c r="QWL51" s="45"/>
      <c r="QWM51" s="45"/>
      <c r="QWN51" s="45"/>
      <c r="QWO51" s="45"/>
      <c r="QWP51" s="45"/>
      <c r="QWQ51" s="45"/>
      <c r="QWR51" s="45"/>
      <c r="QWS51" s="45"/>
      <c r="QWT51" s="45"/>
      <c r="QWU51" s="45"/>
      <c r="QWV51" s="45"/>
      <c r="QWW51" s="45"/>
      <c r="QWX51" s="45"/>
      <c r="QWY51" s="45"/>
      <c r="QWZ51" s="45"/>
      <c r="QXA51" s="45"/>
      <c r="QXB51" s="45"/>
      <c r="QXC51" s="45"/>
      <c r="QXD51" s="45"/>
      <c r="QXE51" s="45"/>
      <c r="QXF51" s="45"/>
      <c r="QXG51" s="45"/>
      <c r="QXH51" s="45"/>
      <c r="QXI51" s="45"/>
      <c r="QXJ51" s="45"/>
      <c r="QXK51" s="45"/>
      <c r="QXL51" s="45"/>
      <c r="QXM51" s="45"/>
      <c r="QXN51" s="45"/>
      <c r="QXO51" s="45"/>
      <c r="QXP51" s="45"/>
      <c r="QXQ51" s="45"/>
      <c r="QXR51" s="45"/>
      <c r="QXS51" s="45"/>
      <c r="QXT51" s="45"/>
      <c r="QXU51" s="45"/>
      <c r="QXV51" s="45"/>
      <c r="QXW51" s="45"/>
      <c r="QXX51" s="45"/>
      <c r="QXY51" s="45"/>
      <c r="QXZ51" s="45"/>
      <c r="QYA51" s="45"/>
      <c r="QYB51" s="45"/>
      <c r="QYC51" s="45"/>
      <c r="QYD51" s="45"/>
      <c r="QYE51" s="45"/>
      <c r="QYF51" s="45"/>
      <c r="QYG51" s="45"/>
      <c r="QYH51" s="45"/>
      <c r="QYI51" s="45"/>
      <c r="QYJ51" s="45"/>
      <c r="QYK51" s="45"/>
      <c r="QYL51" s="45"/>
      <c r="QYM51" s="45"/>
      <c r="QYN51" s="45"/>
      <c r="QYO51" s="45"/>
      <c r="QYP51" s="45"/>
      <c r="QYQ51" s="45"/>
      <c r="QYR51" s="45"/>
      <c r="QYS51" s="45"/>
      <c r="QYT51" s="45"/>
      <c r="QYU51" s="45"/>
      <c r="QYV51" s="45"/>
      <c r="QYW51" s="45"/>
      <c r="QYX51" s="45"/>
      <c r="QYY51" s="45"/>
      <c r="QYZ51" s="45"/>
      <c r="QZA51" s="45"/>
      <c r="QZB51" s="45"/>
      <c r="QZC51" s="45"/>
      <c r="QZD51" s="45"/>
      <c r="QZE51" s="45"/>
      <c r="QZF51" s="45"/>
      <c r="QZG51" s="45"/>
      <c r="QZH51" s="45"/>
      <c r="QZI51" s="45"/>
      <c r="QZJ51" s="45"/>
      <c r="QZK51" s="45"/>
      <c r="QZL51" s="45"/>
      <c r="QZM51" s="45"/>
      <c r="QZN51" s="45"/>
      <c r="QZO51" s="45"/>
      <c r="QZP51" s="45"/>
      <c r="QZQ51" s="45"/>
      <c r="QZR51" s="45"/>
      <c r="QZS51" s="45"/>
      <c r="QZT51" s="45"/>
      <c r="QZU51" s="45"/>
      <c r="QZV51" s="45"/>
      <c r="QZW51" s="45"/>
      <c r="QZX51" s="45"/>
      <c r="QZY51" s="45"/>
      <c r="QZZ51" s="45"/>
      <c r="RAA51" s="45"/>
      <c r="RAB51" s="45"/>
      <c r="RAC51" s="45"/>
      <c r="RAD51" s="45"/>
      <c r="RAE51" s="45"/>
      <c r="RAF51" s="45"/>
      <c r="RAG51" s="45"/>
      <c r="RAH51" s="45"/>
      <c r="RAI51" s="45"/>
      <c r="RAJ51" s="45"/>
      <c r="RAK51" s="45"/>
      <c r="RAL51" s="45"/>
      <c r="RAM51" s="45"/>
      <c r="RAN51" s="45"/>
      <c r="RAO51" s="45"/>
      <c r="RAP51" s="45"/>
      <c r="RAQ51" s="45"/>
      <c r="RAR51" s="45"/>
      <c r="RAS51" s="45"/>
      <c r="RAT51" s="45"/>
      <c r="RAU51" s="45"/>
      <c r="RAV51" s="45"/>
      <c r="RAW51" s="45"/>
      <c r="RAX51" s="45"/>
      <c r="RAY51" s="45"/>
      <c r="RAZ51" s="45"/>
      <c r="RBA51" s="45"/>
      <c r="RBB51" s="45"/>
      <c r="RBC51" s="45"/>
      <c r="RBD51" s="45"/>
      <c r="RBE51" s="45"/>
      <c r="RBF51" s="45"/>
      <c r="RBG51" s="45"/>
      <c r="RBH51" s="45"/>
      <c r="RBI51" s="45"/>
      <c r="RBJ51" s="45"/>
      <c r="RBK51" s="45"/>
      <c r="RBL51" s="45"/>
      <c r="RBM51" s="45"/>
      <c r="RBN51" s="45"/>
      <c r="RBO51" s="45"/>
      <c r="RBP51" s="45"/>
      <c r="RBQ51" s="45"/>
      <c r="RBR51" s="45"/>
      <c r="RBS51" s="45"/>
      <c r="RBT51" s="45"/>
      <c r="RBU51" s="45"/>
      <c r="RBV51" s="45"/>
      <c r="RBW51" s="45"/>
      <c r="RBX51" s="45"/>
      <c r="RBY51" s="45"/>
      <c r="RBZ51" s="45"/>
      <c r="RCA51" s="45"/>
      <c r="RCB51" s="45"/>
      <c r="RCC51" s="45"/>
      <c r="RCD51" s="45"/>
      <c r="RCE51" s="45"/>
      <c r="RCF51" s="45"/>
      <c r="RCG51" s="45"/>
      <c r="RCH51" s="45"/>
      <c r="RCI51" s="45"/>
      <c r="RCJ51" s="45"/>
      <c r="RCK51" s="45"/>
      <c r="RCL51" s="45"/>
      <c r="RCM51" s="45"/>
      <c r="RCN51" s="45"/>
      <c r="RCO51" s="45"/>
      <c r="RCP51" s="45"/>
      <c r="RCQ51" s="45"/>
      <c r="RCR51" s="45"/>
      <c r="RCS51" s="45"/>
      <c r="RCT51" s="45"/>
      <c r="RCU51" s="45"/>
      <c r="RCV51" s="45"/>
      <c r="RCW51" s="45"/>
      <c r="RCX51" s="45"/>
      <c r="RCY51" s="45"/>
      <c r="RCZ51" s="45"/>
      <c r="RDA51" s="45"/>
      <c r="RDB51" s="45"/>
      <c r="RDC51" s="45"/>
      <c r="RDD51" s="45"/>
      <c r="RDE51" s="45"/>
      <c r="RDF51" s="45"/>
      <c r="RDG51" s="45"/>
      <c r="RDH51" s="45"/>
      <c r="RDI51" s="45"/>
      <c r="RDJ51" s="45"/>
      <c r="RDK51" s="45"/>
      <c r="RDL51" s="45"/>
      <c r="RDM51" s="45"/>
      <c r="RDN51" s="45"/>
      <c r="RDO51" s="45"/>
      <c r="RDP51" s="45"/>
      <c r="RDQ51" s="45"/>
      <c r="RDR51" s="45"/>
      <c r="RDS51" s="45"/>
      <c r="RDT51" s="45"/>
      <c r="RDU51" s="45"/>
      <c r="RDV51" s="45"/>
      <c r="RDW51" s="45"/>
      <c r="RDX51" s="45"/>
      <c r="RDY51" s="45"/>
      <c r="RDZ51" s="45"/>
      <c r="REA51" s="45"/>
      <c r="REB51" s="45"/>
      <c r="REC51" s="45"/>
      <c r="RED51" s="45"/>
      <c r="REE51" s="45"/>
      <c r="REF51" s="45"/>
      <c r="REG51" s="45"/>
      <c r="REH51" s="45"/>
      <c r="REI51" s="45"/>
      <c r="REJ51" s="45"/>
      <c r="REK51" s="45"/>
      <c r="REL51" s="45"/>
      <c r="REM51" s="45"/>
      <c r="REN51" s="45"/>
      <c r="REO51" s="45"/>
      <c r="REP51" s="45"/>
      <c r="REQ51" s="45"/>
      <c r="RER51" s="45"/>
      <c r="RES51" s="45"/>
      <c r="RET51" s="45"/>
      <c r="REU51" s="45"/>
      <c r="REV51" s="45"/>
      <c r="REW51" s="45"/>
      <c r="REX51" s="45"/>
      <c r="REY51" s="45"/>
      <c r="REZ51" s="45"/>
      <c r="RFA51" s="45"/>
      <c r="RFB51" s="45"/>
      <c r="RFC51" s="45"/>
      <c r="RFD51" s="45"/>
      <c r="RFE51" s="45"/>
      <c r="RFF51" s="45"/>
      <c r="RFG51" s="45"/>
      <c r="RFH51" s="45"/>
      <c r="RFI51" s="45"/>
      <c r="RFJ51" s="45"/>
      <c r="RFK51" s="45"/>
      <c r="RFL51" s="45"/>
      <c r="RFM51" s="45"/>
      <c r="RFN51" s="45"/>
      <c r="RFO51" s="45"/>
      <c r="RFP51" s="45"/>
      <c r="RFQ51" s="45"/>
      <c r="RFR51" s="45"/>
      <c r="RFS51" s="45"/>
      <c r="RFT51" s="45"/>
      <c r="RFU51" s="45"/>
      <c r="RFV51" s="45"/>
      <c r="RFW51" s="45"/>
      <c r="RFX51" s="45"/>
      <c r="RFY51" s="45"/>
      <c r="RFZ51" s="45"/>
      <c r="RGA51" s="45"/>
      <c r="RGB51" s="45"/>
      <c r="RGC51" s="45"/>
      <c r="RGD51" s="45"/>
      <c r="RGE51" s="45"/>
      <c r="RGF51" s="45"/>
      <c r="RGG51" s="45"/>
      <c r="RGH51" s="45"/>
      <c r="RGI51" s="45"/>
      <c r="RGJ51" s="45"/>
      <c r="RGK51" s="45"/>
      <c r="RGL51" s="45"/>
      <c r="RGM51" s="45"/>
      <c r="RGN51" s="45"/>
      <c r="RGO51" s="45"/>
      <c r="RGP51" s="45"/>
      <c r="RGQ51" s="45"/>
      <c r="RGR51" s="45"/>
      <c r="RGS51" s="45"/>
      <c r="RGT51" s="45"/>
      <c r="RGU51" s="45"/>
      <c r="RGV51" s="45"/>
      <c r="RGW51" s="45"/>
      <c r="RGX51" s="45"/>
      <c r="RGY51" s="45"/>
      <c r="RGZ51" s="45"/>
      <c r="RHA51" s="45"/>
      <c r="RHB51" s="45"/>
      <c r="RHC51" s="45"/>
      <c r="RHD51" s="45"/>
      <c r="RHE51" s="45"/>
      <c r="RHF51" s="45"/>
      <c r="RHG51" s="45"/>
      <c r="RHH51" s="45"/>
      <c r="RHI51" s="45"/>
      <c r="RHJ51" s="45"/>
      <c r="RHK51" s="45"/>
      <c r="RHL51" s="45"/>
      <c r="RHM51" s="45"/>
      <c r="RHN51" s="45"/>
      <c r="RHO51" s="45"/>
      <c r="RHP51" s="45"/>
      <c r="RHQ51" s="45"/>
      <c r="RHR51" s="45"/>
      <c r="RHS51" s="45"/>
      <c r="RHT51" s="45"/>
      <c r="RHU51" s="45"/>
      <c r="RHV51" s="45"/>
      <c r="RHW51" s="45"/>
      <c r="RHX51" s="45"/>
      <c r="RHY51" s="45"/>
      <c r="RHZ51" s="45"/>
      <c r="RIA51" s="45"/>
      <c r="RIB51" s="45"/>
      <c r="RIC51" s="45"/>
      <c r="RID51" s="45"/>
      <c r="RIE51" s="45"/>
      <c r="RIF51" s="45"/>
      <c r="RIG51" s="45"/>
      <c r="RIH51" s="45"/>
      <c r="RII51" s="45"/>
      <c r="RIJ51" s="45"/>
      <c r="RIK51" s="45"/>
      <c r="RIL51" s="45"/>
      <c r="RIM51" s="45"/>
      <c r="RIN51" s="45"/>
      <c r="RIO51" s="45"/>
      <c r="RIP51" s="45"/>
      <c r="RIQ51" s="45"/>
      <c r="RIR51" s="45"/>
      <c r="RIS51" s="45"/>
      <c r="RIT51" s="45"/>
      <c r="RIU51" s="45"/>
      <c r="RIV51" s="45"/>
      <c r="RIW51" s="45"/>
      <c r="RIX51" s="45"/>
      <c r="RIY51" s="45"/>
      <c r="RIZ51" s="45"/>
      <c r="RJA51" s="45"/>
      <c r="RJB51" s="45"/>
      <c r="RJC51" s="45"/>
      <c r="RJD51" s="45"/>
      <c r="RJE51" s="45"/>
      <c r="RJF51" s="45"/>
      <c r="RJG51" s="45"/>
      <c r="RJH51" s="45"/>
      <c r="RJI51" s="45"/>
      <c r="RJJ51" s="45"/>
      <c r="RJK51" s="45"/>
      <c r="RJL51" s="45"/>
      <c r="RJM51" s="45"/>
      <c r="RJN51" s="45"/>
      <c r="RJO51" s="45"/>
      <c r="RJP51" s="45"/>
      <c r="RJQ51" s="45"/>
      <c r="RJR51" s="45"/>
      <c r="RJS51" s="45"/>
      <c r="RJT51" s="45"/>
      <c r="RJU51" s="45"/>
      <c r="RJV51" s="45"/>
      <c r="RJW51" s="45"/>
      <c r="RJX51" s="45"/>
      <c r="RJY51" s="45"/>
      <c r="RJZ51" s="45"/>
      <c r="RKA51" s="45"/>
      <c r="RKB51" s="45"/>
      <c r="RKC51" s="45"/>
      <c r="RKD51" s="45"/>
      <c r="RKE51" s="45"/>
      <c r="RKF51" s="45"/>
      <c r="RKG51" s="45"/>
      <c r="RKH51" s="45"/>
      <c r="RKI51" s="45"/>
      <c r="RKJ51" s="45"/>
      <c r="RKK51" s="45"/>
      <c r="RKL51" s="45"/>
      <c r="RKM51" s="45"/>
      <c r="RKN51" s="45"/>
      <c r="RKO51" s="45"/>
      <c r="RKP51" s="45"/>
      <c r="RKQ51" s="45"/>
      <c r="RKR51" s="45"/>
      <c r="RKS51" s="45"/>
      <c r="RKT51" s="45"/>
      <c r="RKU51" s="45"/>
      <c r="RKV51" s="45"/>
      <c r="RKW51" s="45"/>
      <c r="RKX51" s="45"/>
      <c r="RKY51" s="45"/>
      <c r="RKZ51" s="45"/>
      <c r="RLA51" s="45"/>
      <c r="RLB51" s="45"/>
      <c r="RLC51" s="45"/>
      <c r="RLD51" s="45"/>
      <c r="RLE51" s="45"/>
      <c r="RLF51" s="45"/>
      <c r="RLG51" s="45"/>
      <c r="RLH51" s="45"/>
      <c r="RLI51" s="45"/>
      <c r="RLJ51" s="45"/>
      <c r="RLK51" s="45"/>
      <c r="RLL51" s="45"/>
      <c r="RLM51" s="45"/>
      <c r="RLN51" s="45"/>
      <c r="RLO51" s="45"/>
      <c r="RLP51" s="45"/>
      <c r="RLQ51" s="45"/>
      <c r="RLR51" s="45"/>
      <c r="RLS51" s="45"/>
      <c r="RLT51" s="45"/>
      <c r="RLU51" s="45"/>
      <c r="RLV51" s="45"/>
      <c r="RLW51" s="45"/>
      <c r="RLX51" s="45"/>
      <c r="RLY51" s="45"/>
      <c r="RLZ51" s="45"/>
      <c r="RMA51" s="45"/>
      <c r="RMB51" s="45"/>
      <c r="RMC51" s="45"/>
      <c r="RMD51" s="45"/>
      <c r="RME51" s="45"/>
      <c r="RMF51" s="45"/>
      <c r="RMG51" s="45"/>
      <c r="RMH51" s="45"/>
      <c r="RMI51" s="45"/>
      <c r="RMJ51" s="45"/>
      <c r="RMK51" s="45"/>
      <c r="RML51" s="45"/>
      <c r="RMM51" s="45"/>
      <c r="RMN51" s="45"/>
      <c r="RMO51" s="45"/>
      <c r="RMP51" s="45"/>
      <c r="RMQ51" s="45"/>
      <c r="RMR51" s="45"/>
      <c r="RMS51" s="45"/>
      <c r="RMT51" s="45"/>
      <c r="RMU51" s="45"/>
      <c r="RMV51" s="45"/>
      <c r="RMW51" s="45"/>
      <c r="RMX51" s="45"/>
      <c r="RMY51" s="45"/>
      <c r="RMZ51" s="45"/>
      <c r="RNA51" s="45"/>
      <c r="RNB51" s="45"/>
      <c r="RNC51" s="45"/>
      <c r="RND51" s="45"/>
      <c r="RNE51" s="45"/>
      <c r="RNF51" s="45"/>
      <c r="RNG51" s="45"/>
      <c r="RNH51" s="45"/>
      <c r="RNI51" s="45"/>
      <c r="RNJ51" s="45"/>
      <c r="RNK51" s="45"/>
      <c r="RNL51" s="45"/>
      <c r="RNM51" s="45"/>
      <c r="RNN51" s="45"/>
      <c r="RNO51" s="45"/>
      <c r="RNP51" s="45"/>
      <c r="RNQ51" s="45"/>
      <c r="RNR51" s="45"/>
      <c r="RNS51" s="45"/>
      <c r="RNT51" s="45"/>
      <c r="RNU51" s="45"/>
      <c r="RNV51" s="45"/>
      <c r="RNW51" s="45"/>
      <c r="RNX51" s="45"/>
      <c r="RNY51" s="45"/>
      <c r="RNZ51" s="45"/>
      <c r="ROA51" s="45"/>
      <c r="ROB51" s="45"/>
      <c r="ROC51" s="45"/>
      <c r="ROD51" s="45"/>
      <c r="ROE51" s="45"/>
      <c r="ROF51" s="45"/>
      <c r="ROG51" s="45"/>
      <c r="ROH51" s="45"/>
      <c r="ROI51" s="45"/>
      <c r="ROJ51" s="45"/>
      <c r="ROK51" s="45"/>
      <c r="ROL51" s="45"/>
      <c r="ROM51" s="45"/>
      <c r="RON51" s="45"/>
      <c r="ROO51" s="45"/>
      <c r="ROP51" s="45"/>
      <c r="ROQ51" s="45"/>
      <c r="ROR51" s="45"/>
      <c r="ROS51" s="45"/>
      <c r="ROT51" s="45"/>
      <c r="ROU51" s="45"/>
      <c r="ROV51" s="45"/>
      <c r="ROW51" s="45"/>
      <c r="ROX51" s="45"/>
      <c r="ROY51" s="45"/>
      <c r="ROZ51" s="45"/>
      <c r="RPA51" s="45"/>
      <c r="RPB51" s="45"/>
      <c r="RPC51" s="45"/>
      <c r="RPD51" s="45"/>
      <c r="RPE51" s="45"/>
      <c r="RPF51" s="45"/>
      <c r="RPG51" s="45"/>
      <c r="RPH51" s="45"/>
      <c r="RPI51" s="45"/>
      <c r="RPJ51" s="45"/>
      <c r="RPK51" s="45"/>
      <c r="RPL51" s="45"/>
      <c r="RPM51" s="45"/>
      <c r="RPN51" s="45"/>
      <c r="RPO51" s="45"/>
      <c r="RPP51" s="45"/>
      <c r="RPQ51" s="45"/>
      <c r="RPR51" s="45"/>
      <c r="RPS51" s="45"/>
      <c r="RPT51" s="45"/>
      <c r="RPU51" s="45"/>
      <c r="RPV51" s="45"/>
      <c r="RPW51" s="45"/>
      <c r="RPX51" s="45"/>
      <c r="RPY51" s="45"/>
      <c r="RPZ51" s="45"/>
      <c r="RQA51" s="45"/>
      <c r="RQB51" s="45"/>
      <c r="RQC51" s="45"/>
      <c r="RQD51" s="45"/>
      <c r="RQE51" s="45"/>
      <c r="RQF51" s="45"/>
      <c r="RQG51" s="45"/>
      <c r="RQH51" s="45"/>
      <c r="RQI51" s="45"/>
      <c r="RQJ51" s="45"/>
      <c r="RQK51" s="45"/>
      <c r="RQL51" s="45"/>
      <c r="RQM51" s="45"/>
      <c r="RQN51" s="45"/>
      <c r="RQO51" s="45"/>
      <c r="RQP51" s="45"/>
      <c r="RQQ51" s="45"/>
      <c r="RQR51" s="45"/>
      <c r="RQS51" s="45"/>
      <c r="RQT51" s="45"/>
      <c r="RQU51" s="45"/>
      <c r="RQV51" s="45"/>
      <c r="RQW51" s="45"/>
      <c r="RQX51" s="45"/>
      <c r="RQY51" s="45"/>
      <c r="RQZ51" s="45"/>
      <c r="RRA51" s="45"/>
      <c r="RRB51" s="45"/>
      <c r="RRC51" s="45"/>
      <c r="RRD51" s="45"/>
      <c r="RRE51" s="45"/>
      <c r="RRF51" s="45"/>
      <c r="RRG51" s="45"/>
      <c r="RRH51" s="45"/>
      <c r="RRI51" s="45"/>
      <c r="RRJ51" s="45"/>
      <c r="RRK51" s="45"/>
      <c r="RRL51" s="45"/>
      <c r="RRM51" s="45"/>
      <c r="RRN51" s="45"/>
      <c r="RRO51" s="45"/>
      <c r="RRP51" s="45"/>
      <c r="RRQ51" s="45"/>
      <c r="RRR51" s="45"/>
      <c r="RRS51" s="45"/>
      <c r="RRT51" s="45"/>
      <c r="RRU51" s="45"/>
      <c r="RRV51" s="45"/>
      <c r="RRW51" s="45"/>
      <c r="RRX51" s="45"/>
      <c r="RRY51" s="45"/>
      <c r="RRZ51" s="45"/>
      <c r="RSA51" s="45"/>
      <c r="RSB51" s="45"/>
      <c r="RSC51" s="45"/>
      <c r="RSD51" s="45"/>
      <c r="RSE51" s="45"/>
      <c r="RSF51" s="45"/>
      <c r="RSG51" s="45"/>
      <c r="RSH51" s="45"/>
      <c r="RSI51" s="45"/>
      <c r="RSJ51" s="45"/>
      <c r="RSK51" s="45"/>
      <c r="RSL51" s="45"/>
      <c r="RSM51" s="45"/>
      <c r="RSN51" s="45"/>
      <c r="RSO51" s="45"/>
      <c r="RSP51" s="45"/>
      <c r="RSQ51" s="45"/>
      <c r="RSR51" s="45"/>
      <c r="RSS51" s="45"/>
      <c r="RST51" s="45"/>
      <c r="RSU51" s="45"/>
      <c r="RSV51" s="45"/>
      <c r="RSW51" s="45"/>
      <c r="RSX51" s="45"/>
      <c r="RSY51" s="45"/>
      <c r="RSZ51" s="45"/>
      <c r="RTA51" s="45"/>
      <c r="RTB51" s="45"/>
      <c r="RTC51" s="45"/>
      <c r="RTD51" s="45"/>
      <c r="RTE51" s="45"/>
      <c r="RTF51" s="45"/>
      <c r="RTG51" s="45"/>
      <c r="RTH51" s="45"/>
      <c r="RTI51" s="45"/>
      <c r="RTJ51" s="45"/>
      <c r="RTK51" s="45"/>
      <c r="RTL51" s="45"/>
      <c r="RTM51" s="45"/>
      <c r="RTN51" s="45"/>
      <c r="RTO51" s="45"/>
      <c r="RTP51" s="45"/>
      <c r="RTQ51" s="45"/>
      <c r="RTR51" s="45"/>
      <c r="RTS51" s="45"/>
      <c r="RTT51" s="45"/>
      <c r="RTU51" s="45"/>
      <c r="RTV51" s="45"/>
      <c r="RTW51" s="45"/>
      <c r="RTX51" s="45"/>
      <c r="RTY51" s="45"/>
      <c r="RTZ51" s="45"/>
      <c r="RUA51" s="45"/>
      <c r="RUB51" s="45"/>
      <c r="RUC51" s="45"/>
      <c r="RUD51" s="45"/>
      <c r="RUE51" s="45"/>
      <c r="RUF51" s="45"/>
      <c r="RUG51" s="45"/>
      <c r="RUH51" s="45"/>
      <c r="RUI51" s="45"/>
      <c r="RUJ51" s="45"/>
      <c r="RUK51" s="45"/>
      <c r="RUL51" s="45"/>
      <c r="RUM51" s="45"/>
      <c r="RUN51" s="45"/>
      <c r="RUO51" s="45"/>
      <c r="RUP51" s="45"/>
      <c r="RUQ51" s="45"/>
      <c r="RUR51" s="45"/>
      <c r="RUS51" s="45"/>
      <c r="RUT51" s="45"/>
      <c r="RUU51" s="45"/>
      <c r="RUV51" s="45"/>
      <c r="RUW51" s="45"/>
      <c r="RUX51" s="45"/>
      <c r="RUY51" s="45"/>
      <c r="RUZ51" s="45"/>
      <c r="RVA51" s="45"/>
      <c r="RVB51" s="45"/>
      <c r="RVC51" s="45"/>
      <c r="RVD51" s="45"/>
      <c r="RVE51" s="45"/>
      <c r="RVF51" s="45"/>
      <c r="RVG51" s="45"/>
      <c r="RVH51" s="45"/>
      <c r="RVI51" s="45"/>
      <c r="RVJ51" s="45"/>
      <c r="RVK51" s="45"/>
      <c r="RVL51" s="45"/>
      <c r="RVM51" s="45"/>
      <c r="RVN51" s="45"/>
      <c r="RVO51" s="45"/>
      <c r="RVP51" s="45"/>
      <c r="RVQ51" s="45"/>
      <c r="RVR51" s="45"/>
      <c r="RVS51" s="45"/>
      <c r="RVT51" s="45"/>
      <c r="RVU51" s="45"/>
      <c r="RVV51" s="45"/>
      <c r="RVW51" s="45"/>
      <c r="RVX51" s="45"/>
      <c r="RVY51" s="45"/>
      <c r="RVZ51" s="45"/>
      <c r="RWA51" s="45"/>
      <c r="RWB51" s="45"/>
      <c r="RWC51" s="45"/>
      <c r="RWD51" s="45"/>
      <c r="RWE51" s="45"/>
      <c r="RWF51" s="45"/>
      <c r="RWG51" s="45"/>
      <c r="RWH51" s="45"/>
      <c r="RWI51" s="45"/>
      <c r="RWJ51" s="45"/>
      <c r="RWK51" s="45"/>
      <c r="RWL51" s="45"/>
      <c r="RWM51" s="45"/>
      <c r="RWN51" s="45"/>
      <c r="RWO51" s="45"/>
      <c r="RWP51" s="45"/>
      <c r="RWQ51" s="45"/>
      <c r="RWR51" s="45"/>
      <c r="RWS51" s="45"/>
      <c r="RWT51" s="45"/>
      <c r="RWU51" s="45"/>
      <c r="RWV51" s="45"/>
      <c r="RWW51" s="45"/>
      <c r="RWX51" s="45"/>
      <c r="RWY51" s="45"/>
      <c r="RWZ51" s="45"/>
      <c r="RXA51" s="45"/>
      <c r="RXB51" s="45"/>
      <c r="RXC51" s="45"/>
      <c r="RXD51" s="45"/>
      <c r="RXE51" s="45"/>
      <c r="RXF51" s="45"/>
      <c r="RXG51" s="45"/>
      <c r="RXH51" s="45"/>
      <c r="RXI51" s="45"/>
      <c r="RXJ51" s="45"/>
      <c r="RXK51" s="45"/>
      <c r="RXL51" s="45"/>
      <c r="RXM51" s="45"/>
      <c r="RXN51" s="45"/>
      <c r="RXO51" s="45"/>
      <c r="RXP51" s="45"/>
      <c r="RXQ51" s="45"/>
      <c r="RXR51" s="45"/>
      <c r="RXS51" s="45"/>
      <c r="RXT51" s="45"/>
      <c r="RXU51" s="45"/>
      <c r="RXV51" s="45"/>
      <c r="RXW51" s="45"/>
      <c r="RXX51" s="45"/>
      <c r="RXY51" s="45"/>
      <c r="RXZ51" s="45"/>
      <c r="RYA51" s="45"/>
      <c r="RYB51" s="45"/>
      <c r="RYC51" s="45"/>
      <c r="RYD51" s="45"/>
      <c r="RYE51" s="45"/>
      <c r="RYF51" s="45"/>
      <c r="RYG51" s="45"/>
      <c r="RYH51" s="45"/>
      <c r="RYI51" s="45"/>
      <c r="RYJ51" s="45"/>
      <c r="RYK51" s="45"/>
      <c r="RYL51" s="45"/>
      <c r="RYM51" s="45"/>
      <c r="RYN51" s="45"/>
      <c r="RYO51" s="45"/>
      <c r="RYP51" s="45"/>
      <c r="RYQ51" s="45"/>
      <c r="RYR51" s="45"/>
      <c r="RYS51" s="45"/>
      <c r="RYT51" s="45"/>
      <c r="RYU51" s="45"/>
      <c r="RYV51" s="45"/>
      <c r="RYW51" s="45"/>
      <c r="RYX51" s="45"/>
      <c r="RYY51" s="45"/>
      <c r="RYZ51" s="45"/>
      <c r="RZA51" s="45"/>
      <c r="RZB51" s="45"/>
      <c r="RZC51" s="45"/>
      <c r="RZD51" s="45"/>
      <c r="RZE51" s="45"/>
      <c r="RZF51" s="45"/>
      <c r="RZG51" s="45"/>
      <c r="RZH51" s="45"/>
      <c r="RZI51" s="45"/>
      <c r="RZJ51" s="45"/>
      <c r="RZK51" s="45"/>
      <c r="RZL51" s="45"/>
      <c r="RZM51" s="45"/>
      <c r="RZN51" s="45"/>
      <c r="RZO51" s="45"/>
      <c r="RZP51" s="45"/>
      <c r="RZQ51" s="45"/>
      <c r="RZR51" s="45"/>
      <c r="RZS51" s="45"/>
      <c r="RZT51" s="45"/>
      <c r="RZU51" s="45"/>
      <c r="RZV51" s="45"/>
      <c r="RZW51" s="45"/>
      <c r="RZX51" s="45"/>
      <c r="RZY51" s="45"/>
      <c r="RZZ51" s="45"/>
      <c r="SAA51" s="45"/>
      <c r="SAB51" s="45"/>
      <c r="SAC51" s="45"/>
      <c r="SAD51" s="45"/>
      <c r="SAE51" s="45"/>
      <c r="SAF51" s="45"/>
      <c r="SAG51" s="45"/>
      <c r="SAH51" s="45"/>
      <c r="SAI51" s="45"/>
      <c r="SAJ51" s="45"/>
      <c r="SAK51" s="45"/>
      <c r="SAL51" s="45"/>
      <c r="SAM51" s="45"/>
      <c r="SAN51" s="45"/>
      <c r="SAO51" s="45"/>
      <c r="SAP51" s="45"/>
      <c r="SAQ51" s="45"/>
      <c r="SAR51" s="45"/>
      <c r="SAS51" s="45"/>
      <c r="SAT51" s="45"/>
      <c r="SAU51" s="45"/>
      <c r="SAV51" s="45"/>
      <c r="SAW51" s="45"/>
      <c r="SAX51" s="45"/>
      <c r="SAY51" s="45"/>
      <c r="SAZ51" s="45"/>
      <c r="SBA51" s="45"/>
      <c r="SBB51" s="45"/>
      <c r="SBC51" s="45"/>
      <c r="SBD51" s="45"/>
      <c r="SBE51" s="45"/>
      <c r="SBF51" s="45"/>
      <c r="SBG51" s="45"/>
      <c r="SBH51" s="45"/>
      <c r="SBI51" s="45"/>
      <c r="SBJ51" s="45"/>
      <c r="SBK51" s="45"/>
      <c r="SBL51" s="45"/>
      <c r="SBM51" s="45"/>
      <c r="SBN51" s="45"/>
      <c r="SBO51" s="45"/>
      <c r="SBP51" s="45"/>
      <c r="SBQ51" s="45"/>
      <c r="SBR51" s="45"/>
      <c r="SBS51" s="45"/>
      <c r="SBT51" s="45"/>
      <c r="SBU51" s="45"/>
      <c r="SBV51" s="45"/>
      <c r="SBW51" s="45"/>
      <c r="SBX51" s="45"/>
      <c r="SBY51" s="45"/>
      <c r="SBZ51" s="45"/>
      <c r="SCA51" s="45"/>
      <c r="SCB51" s="45"/>
      <c r="SCC51" s="45"/>
      <c r="SCD51" s="45"/>
      <c r="SCE51" s="45"/>
      <c r="SCF51" s="45"/>
      <c r="SCG51" s="45"/>
      <c r="SCH51" s="45"/>
      <c r="SCI51" s="45"/>
      <c r="SCJ51" s="45"/>
      <c r="SCK51" s="45"/>
      <c r="SCL51" s="45"/>
      <c r="SCM51" s="45"/>
      <c r="SCN51" s="45"/>
      <c r="SCO51" s="45"/>
      <c r="SCP51" s="45"/>
      <c r="SCQ51" s="45"/>
      <c r="SCR51" s="45"/>
      <c r="SCS51" s="45"/>
      <c r="SCT51" s="45"/>
      <c r="SCU51" s="45"/>
      <c r="SCV51" s="45"/>
      <c r="SCW51" s="45"/>
      <c r="SCX51" s="45"/>
      <c r="SCY51" s="45"/>
      <c r="SCZ51" s="45"/>
      <c r="SDA51" s="45"/>
      <c r="SDB51" s="45"/>
      <c r="SDC51" s="45"/>
      <c r="SDD51" s="45"/>
      <c r="SDE51" s="45"/>
      <c r="SDF51" s="45"/>
      <c r="SDG51" s="45"/>
      <c r="SDH51" s="45"/>
      <c r="SDI51" s="45"/>
      <c r="SDJ51" s="45"/>
      <c r="SDK51" s="45"/>
      <c r="SDL51" s="45"/>
      <c r="SDM51" s="45"/>
      <c r="SDN51" s="45"/>
      <c r="SDO51" s="45"/>
      <c r="SDP51" s="45"/>
      <c r="SDQ51" s="45"/>
      <c r="SDR51" s="45"/>
      <c r="SDS51" s="45"/>
      <c r="SDT51" s="45"/>
      <c r="SDU51" s="45"/>
      <c r="SDV51" s="45"/>
      <c r="SDW51" s="45"/>
      <c r="SDX51" s="45"/>
      <c r="SDY51" s="45"/>
      <c r="SDZ51" s="45"/>
      <c r="SEA51" s="45"/>
      <c r="SEB51" s="45"/>
      <c r="SEC51" s="45"/>
      <c r="SED51" s="45"/>
      <c r="SEE51" s="45"/>
      <c r="SEF51" s="45"/>
      <c r="SEG51" s="45"/>
      <c r="SEH51" s="45"/>
      <c r="SEI51" s="45"/>
      <c r="SEJ51" s="45"/>
      <c r="SEK51" s="45"/>
      <c r="SEL51" s="45"/>
      <c r="SEM51" s="45"/>
      <c r="SEN51" s="45"/>
      <c r="SEO51" s="45"/>
      <c r="SEP51" s="45"/>
      <c r="SEQ51" s="45"/>
      <c r="SER51" s="45"/>
      <c r="SES51" s="45"/>
      <c r="SET51" s="45"/>
      <c r="SEU51" s="45"/>
      <c r="SEV51" s="45"/>
      <c r="SEW51" s="45"/>
      <c r="SEX51" s="45"/>
      <c r="SEY51" s="45"/>
      <c r="SEZ51" s="45"/>
      <c r="SFA51" s="45"/>
      <c r="SFB51" s="45"/>
      <c r="SFC51" s="45"/>
      <c r="SFD51" s="45"/>
      <c r="SFE51" s="45"/>
      <c r="SFF51" s="45"/>
      <c r="SFG51" s="45"/>
      <c r="SFH51" s="45"/>
      <c r="SFI51" s="45"/>
      <c r="SFJ51" s="45"/>
      <c r="SFK51" s="45"/>
      <c r="SFL51" s="45"/>
      <c r="SFM51" s="45"/>
      <c r="SFN51" s="45"/>
      <c r="SFO51" s="45"/>
      <c r="SFP51" s="45"/>
      <c r="SFQ51" s="45"/>
      <c r="SFR51" s="45"/>
      <c r="SFS51" s="45"/>
      <c r="SFT51" s="45"/>
      <c r="SFU51" s="45"/>
      <c r="SFV51" s="45"/>
      <c r="SFW51" s="45"/>
      <c r="SFX51" s="45"/>
      <c r="SFY51" s="45"/>
      <c r="SFZ51" s="45"/>
      <c r="SGA51" s="45"/>
      <c r="SGB51" s="45"/>
      <c r="SGC51" s="45"/>
      <c r="SGD51" s="45"/>
      <c r="SGE51" s="45"/>
      <c r="SGF51" s="45"/>
      <c r="SGG51" s="45"/>
      <c r="SGH51" s="45"/>
      <c r="SGI51" s="45"/>
      <c r="SGJ51" s="45"/>
      <c r="SGK51" s="45"/>
      <c r="SGL51" s="45"/>
      <c r="SGM51" s="45"/>
      <c r="SGN51" s="45"/>
      <c r="SGO51" s="45"/>
      <c r="SGP51" s="45"/>
      <c r="SGQ51" s="45"/>
      <c r="SGR51" s="45"/>
      <c r="SGS51" s="45"/>
      <c r="SGT51" s="45"/>
      <c r="SGU51" s="45"/>
      <c r="SGV51" s="45"/>
      <c r="SGW51" s="45"/>
      <c r="SGX51" s="45"/>
      <c r="SGY51" s="45"/>
      <c r="SGZ51" s="45"/>
      <c r="SHA51" s="45"/>
      <c r="SHB51" s="45"/>
      <c r="SHC51" s="45"/>
      <c r="SHD51" s="45"/>
      <c r="SHE51" s="45"/>
      <c r="SHF51" s="45"/>
      <c r="SHG51" s="45"/>
      <c r="SHH51" s="45"/>
      <c r="SHI51" s="45"/>
      <c r="SHJ51" s="45"/>
      <c r="SHK51" s="45"/>
      <c r="SHL51" s="45"/>
      <c r="SHM51" s="45"/>
      <c r="SHN51" s="45"/>
      <c r="SHO51" s="45"/>
      <c r="SHP51" s="45"/>
      <c r="SHQ51" s="45"/>
      <c r="SHR51" s="45"/>
      <c r="SHS51" s="45"/>
      <c r="SHT51" s="45"/>
      <c r="SHU51" s="45"/>
      <c r="SHV51" s="45"/>
      <c r="SHW51" s="45"/>
      <c r="SHX51" s="45"/>
      <c r="SHY51" s="45"/>
      <c r="SHZ51" s="45"/>
      <c r="SIA51" s="45"/>
      <c r="SIB51" s="45"/>
      <c r="SIC51" s="45"/>
      <c r="SID51" s="45"/>
      <c r="SIE51" s="45"/>
      <c r="SIF51" s="45"/>
      <c r="SIG51" s="45"/>
      <c r="SIH51" s="45"/>
      <c r="SII51" s="45"/>
      <c r="SIJ51" s="45"/>
      <c r="SIK51" s="45"/>
      <c r="SIL51" s="45"/>
      <c r="SIM51" s="45"/>
      <c r="SIN51" s="45"/>
      <c r="SIO51" s="45"/>
      <c r="SIP51" s="45"/>
      <c r="SIQ51" s="45"/>
      <c r="SIR51" s="45"/>
      <c r="SIS51" s="45"/>
      <c r="SIT51" s="45"/>
      <c r="SIU51" s="45"/>
      <c r="SIV51" s="45"/>
      <c r="SIW51" s="45"/>
      <c r="SIX51" s="45"/>
      <c r="SIY51" s="45"/>
      <c r="SIZ51" s="45"/>
      <c r="SJA51" s="45"/>
      <c r="SJB51" s="45"/>
      <c r="SJC51" s="45"/>
      <c r="SJD51" s="45"/>
      <c r="SJE51" s="45"/>
      <c r="SJF51" s="45"/>
      <c r="SJG51" s="45"/>
      <c r="SJH51" s="45"/>
      <c r="SJI51" s="45"/>
      <c r="SJJ51" s="45"/>
      <c r="SJK51" s="45"/>
      <c r="SJL51" s="45"/>
      <c r="SJM51" s="45"/>
      <c r="SJN51" s="45"/>
      <c r="SJO51" s="45"/>
      <c r="SJP51" s="45"/>
      <c r="SJQ51" s="45"/>
      <c r="SJR51" s="45"/>
      <c r="SJS51" s="45"/>
      <c r="SJT51" s="45"/>
      <c r="SJU51" s="45"/>
      <c r="SJV51" s="45"/>
      <c r="SJW51" s="45"/>
      <c r="SJX51" s="45"/>
      <c r="SJY51" s="45"/>
      <c r="SJZ51" s="45"/>
      <c r="SKA51" s="45"/>
      <c r="SKB51" s="45"/>
      <c r="SKC51" s="45"/>
      <c r="SKD51" s="45"/>
      <c r="SKE51" s="45"/>
      <c r="SKF51" s="45"/>
      <c r="SKG51" s="45"/>
      <c r="SKH51" s="45"/>
      <c r="SKI51" s="45"/>
      <c r="SKJ51" s="45"/>
      <c r="SKK51" s="45"/>
      <c r="SKL51" s="45"/>
      <c r="SKM51" s="45"/>
      <c r="SKN51" s="45"/>
      <c r="SKO51" s="45"/>
      <c r="SKP51" s="45"/>
      <c r="SKQ51" s="45"/>
      <c r="SKR51" s="45"/>
      <c r="SKS51" s="45"/>
      <c r="SKT51" s="45"/>
      <c r="SKU51" s="45"/>
      <c r="SKV51" s="45"/>
      <c r="SKW51" s="45"/>
      <c r="SKX51" s="45"/>
      <c r="SKY51" s="45"/>
      <c r="SKZ51" s="45"/>
      <c r="SLA51" s="45"/>
      <c r="SLB51" s="45"/>
      <c r="SLC51" s="45"/>
      <c r="SLD51" s="45"/>
      <c r="SLE51" s="45"/>
      <c r="SLF51" s="45"/>
      <c r="SLG51" s="45"/>
      <c r="SLH51" s="45"/>
      <c r="SLI51" s="45"/>
      <c r="SLJ51" s="45"/>
      <c r="SLK51" s="45"/>
      <c r="SLL51" s="45"/>
      <c r="SLM51" s="45"/>
      <c r="SLN51" s="45"/>
      <c r="SLO51" s="45"/>
      <c r="SLP51" s="45"/>
      <c r="SLQ51" s="45"/>
      <c r="SLR51" s="45"/>
      <c r="SLS51" s="45"/>
      <c r="SLT51" s="45"/>
      <c r="SLU51" s="45"/>
      <c r="SLV51" s="45"/>
      <c r="SLW51" s="45"/>
      <c r="SLX51" s="45"/>
      <c r="SLY51" s="45"/>
      <c r="SLZ51" s="45"/>
      <c r="SMA51" s="45"/>
      <c r="SMB51" s="45"/>
      <c r="SMC51" s="45"/>
      <c r="SMD51" s="45"/>
      <c r="SME51" s="45"/>
      <c r="SMF51" s="45"/>
      <c r="SMG51" s="45"/>
      <c r="SMH51" s="45"/>
      <c r="SMI51" s="45"/>
      <c r="SMJ51" s="45"/>
      <c r="SMK51" s="45"/>
      <c r="SML51" s="45"/>
      <c r="SMM51" s="45"/>
      <c r="SMN51" s="45"/>
      <c r="SMO51" s="45"/>
      <c r="SMP51" s="45"/>
      <c r="SMQ51" s="45"/>
      <c r="SMR51" s="45"/>
      <c r="SMS51" s="45"/>
      <c r="SMT51" s="45"/>
      <c r="SMU51" s="45"/>
      <c r="SMV51" s="45"/>
      <c r="SMW51" s="45"/>
      <c r="SMX51" s="45"/>
      <c r="SMY51" s="45"/>
      <c r="SMZ51" s="45"/>
      <c r="SNA51" s="45"/>
      <c r="SNB51" s="45"/>
      <c r="SNC51" s="45"/>
      <c r="SND51" s="45"/>
      <c r="SNE51" s="45"/>
      <c r="SNF51" s="45"/>
      <c r="SNG51" s="45"/>
      <c r="SNH51" s="45"/>
      <c r="SNI51" s="45"/>
      <c r="SNJ51" s="45"/>
      <c r="SNK51" s="45"/>
      <c r="SNL51" s="45"/>
      <c r="SNM51" s="45"/>
      <c r="SNN51" s="45"/>
      <c r="SNO51" s="45"/>
      <c r="SNP51" s="45"/>
      <c r="SNQ51" s="45"/>
      <c r="SNR51" s="45"/>
      <c r="SNS51" s="45"/>
      <c r="SNT51" s="45"/>
      <c r="SNU51" s="45"/>
      <c r="SNV51" s="45"/>
      <c r="SNW51" s="45"/>
      <c r="SNX51" s="45"/>
      <c r="SNY51" s="45"/>
      <c r="SNZ51" s="45"/>
      <c r="SOA51" s="45"/>
      <c r="SOB51" s="45"/>
      <c r="SOC51" s="45"/>
      <c r="SOD51" s="45"/>
      <c r="SOE51" s="45"/>
      <c r="SOF51" s="45"/>
      <c r="SOG51" s="45"/>
      <c r="SOH51" s="45"/>
      <c r="SOI51" s="45"/>
      <c r="SOJ51" s="45"/>
      <c r="SOK51" s="45"/>
      <c r="SOL51" s="45"/>
      <c r="SOM51" s="45"/>
      <c r="SON51" s="45"/>
      <c r="SOO51" s="45"/>
      <c r="SOP51" s="45"/>
      <c r="SOQ51" s="45"/>
      <c r="SOR51" s="45"/>
      <c r="SOS51" s="45"/>
      <c r="SOT51" s="45"/>
      <c r="SOU51" s="45"/>
      <c r="SOV51" s="45"/>
      <c r="SOW51" s="45"/>
      <c r="SOX51" s="45"/>
      <c r="SOY51" s="45"/>
      <c r="SOZ51" s="45"/>
      <c r="SPA51" s="45"/>
      <c r="SPB51" s="45"/>
      <c r="SPC51" s="45"/>
      <c r="SPD51" s="45"/>
      <c r="SPE51" s="45"/>
      <c r="SPF51" s="45"/>
      <c r="SPG51" s="45"/>
      <c r="SPH51" s="45"/>
      <c r="SPI51" s="45"/>
      <c r="SPJ51" s="45"/>
      <c r="SPK51" s="45"/>
      <c r="SPL51" s="45"/>
      <c r="SPM51" s="45"/>
      <c r="SPN51" s="45"/>
      <c r="SPO51" s="45"/>
      <c r="SPP51" s="45"/>
      <c r="SPQ51" s="45"/>
      <c r="SPR51" s="45"/>
      <c r="SPS51" s="45"/>
      <c r="SPT51" s="45"/>
      <c r="SPU51" s="45"/>
      <c r="SPV51" s="45"/>
      <c r="SPW51" s="45"/>
      <c r="SPX51" s="45"/>
      <c r="SPY51" s="45"/>
      <c r="SPZ51" s="45"/>
      <c r="SQA51" s="45"/>
      <c r="SQB51" s="45"/>
      <c r="SQC51" s="45"/>
      <c r="SQD51" s="45"/>
      <c r="SQE51" s="45"/>
      <c r="SQF51" s="45"/>
      <c r="SQG51" s="45"/>
      <c r="SQH51" s="45"/>
      <c r="SQI51" s="45"/>
      <c r="SQJ51" s="45"/>
      <c r="SQK51" s="45"/>
      <c r="SQL51" s="45"/>
      <c r="SQM51" s="45"/>
      <c r="SQN51" s="45"/>
      <c r="SQO51" s="45"/>
      <c r="SQP51" s="45"/>
      <c r="SQQ51" s="45"/>
      <c r="SQR51" s="45"/>
      <c r="SQS51" s="45"/>
      <c r="SQT51" s="45"/>
      <c r="SQU51" s="45"/>
      <c r="SQV51" s="45"/>
      <c r="SQW51" s="45"/>
      <c r="SQX51" s="45"/>
      <c r="SQY51" s="45"/>
      <c r="SQZ51" s="45"/>
      <c r="SRA51" s="45"/>
      <c r="SRB51" s="45"/>
      <c r="SRC51" s="45"/>
      <c r="SRD51" s="45"/>
      <c r="SRE51" s="45"/>
      <c r="SRF51" s="45"/>
      <c r="SRG51" s="45"/>
      <c r="SRH51" s="45"/>
      <c r="SRI51" s="45"/>
      <c r="SRJ51" s="45"/>
      <c r="SRK51" s="45"/>
      <c r="SRL51" s="45"/>
      <c r="SRM51" s="45"/>
      <c r="SRN51" s="45"/>
      <c r="SRO51" s="45"/>
      <c r="SRP51" s="45"/>
      <c r="SRQ51" s="45"/>
      <c r="SRR51" s="45"/>
      <c r="SRS51" s="45"/>
      <c r="SRT51" s="45"/>
      <c r="SRU51" s="45"/>
      <c r="SRV51" s="45"/>
      <c r="SRW51" s="45"/>
      <c r="SRX51" s="45"/>
      <c r="SRY51" s="45"/>
      <c r="SRZ51" s="45"/>
      <c r="SSA51" s="45"/>
      <c r="SSB51" s="45"/>
      <c r="SSC51" s="45"/>
      <c r="SSD51" s="45"/>
      <c r="SSE51" s="45"/>
      <c r="SSF51" s="45"/>
      <c r="SSG51" s="45"/>
      <c r="SSH51" s="45"/>
      <c r="SSI51" s="45"/>
      <c r="SSJ51" s="45"/>
      <c r="SSK51" s="45"/>
      <c r="SSL51" s="45"/>
      <c r="SSM51" s="45"/>
      <c r="SSN51" s="45"/>
      <c r="SSO51" s="45"/>
      <c r="SSP51" s="45"/>
      <c r="SSQ51" s="45"/>
      <c r="SSR51" s="45"/>
      <c r="SSS51" s="45"/>
      <c r="SST51" s="45"/>
      <c r="SSU51" s="45"/>
      <c r="SSV51" s="45"/>
      <c r="SSW51" s="45"/>
      <c r="SSX51" s="45"/>
      <c r="SSY51" s="45"/>
      <c r="SSZ51" s="45"/>
      <c r="STA51" s="45"/>
      <c r="STB51" s="45"/>
      <c r="STC51" s="45"/>
      <c r="STD51" s="45"/>
      <c r="STE51" s="45"/>
      <c r="STF51" s="45"/>
      <c r="STG51" s="45"/>
      <c r="STH51" s="45"/>
      <c r="STI51" s="45"/>
      <c r="STJ51" s="45"/>
      <c r="STK51" s="45"/>
      <c r="STL51" s="45"/>
      <c r="STM51" s="45"/>
      <c r="STN51" s="45"/>
      <c r="STO51" s="45"/>
      <c r="STP51" s="45"/>
      <c r="STQ51" s="45"/>
      <c r="STR51" s="45"/>
      <c r="STS51" s="45"/>
      <c r="STT51" s="45"/>
      <c r="STU51" s="45"/>
      <c r="STV51" s="45"/>
      <c r="STW51" s="45"/>
      <c r="STX51" s="45"/>
      <c r="STY51" s="45"/>
      <c r="STZ51" s="45"/>
      <c r="SUA51" s="45"/>
      <c r="SUB51" s="45"/>
      <c r="SUC51" s="45"/>
      <c r="SUD51" s="45"/>
      <c r="SUE51" s="45"/>
      <c r="SUF51" s="45"/>
      <c r="SUG51" s="45"/>
      <c r="SUH51" s="45"/>
      <c r="SUI51" s="45"/>
      <c r="SUJ51" s="45"/>
      <c r="SUK51" s="45"/>
      <c r="SUL51" s="45"/>
      <c r="SUM51" s="45"/>
      <c r="SUN51" s="45"/>
      <c r="SUO51" s="45"/>
      <c r="SUP51" s="45"/>
      <c r="SUQ51" s="45"/>
      <c r="SUR51" s="45"/>
      <c r="SUS51" s="45"/>
      <c r="SUT51" s="45"/>
      <c r="SUU51" s="45"/>
      <c r="SUV51" s="45"/>
      <c r="SUW51" s="45"/>
      <c r="SUX51" s="45"/>
      <c r="SUY51" s="45"/>
      <c r="SUZ51" s="45"/>
      <c r="SVA51" s="45"/>
      <c r="SVB51" s="45"/>
      <c r="SVC51" s="45"/>
      <c r="SVD51" s="45"/>
      <c r="SVE51" s="45"/>
      <c r="SVF51" s="45"/>
      <c r="SVG51" s="45"/>
      <c r="SVH51" s="45"/>
      <c r="SVI51" s="45"/>
      <c r="SVJ51" s="45"/>
      <c r="SVK51" s="45"/>
      <c r="SVL51" s="45"/>
      <c r="SVM51" s="45"/>
      <c r="SVN51" s="45"/>
      <c r="SVO51" s="45"/>
      <c r="SVP51" s="45"/>
      <c r="SVQ51" s="45"/>
      <c r="SVR51" s="45"/>
      <c r="SVS51" s="45"/>
      <c r="SVT51" s="45"/>
      <c r="SVU51" s="45"/>
      <c r="SVV51" s="45"/>
      <c r="SVW51" s="45"/>
      <c r="SVX51" s="45"/>
      <c r="SVY51" s="45"/>
      <c r="SVZ51" s="45"/>
      <c r="SWA51" s="45"/>
      <c r="SWB51" s="45"/>
      <c r="SWC51" s="45"/>
      <c r="SWD51" s="45"/>
      <c r="SWE51" s="45"/>
      <c r="SWF51" s="45"/>
      <c r="SWG51" s="45"/>
      <c r="SWH51" s="45"/>
      <c r="SWI51" s="45"/>
      <c r="SWJ51" s="45"/>
      <c r="SWK51" s="45"/>
      <c r="SWL51" s="45"/>
      <c r="SWM51" s="45"/>
      <c r="SWN51" s="45"/>
      <c r="SWO51" s="45"/>
      <c r="SWP51" s="45"/>
      <c r="SWQ51" s="45"/>
      <c r="SWR51" s="45"/>
      <c r="SWS51" s="45"/>
      <c r="SWT51" s="45"/>
      <c r="SWU51" s="45"/>
      <c r="SWV51" s="45"/>
      <c r="SWW51" s="45"/>
      <c r="SWX51" s="45"/>
      <c r="SWY51" s="45"/>
      <c r="SWZ51" s="45"/>
      <c r="SXA51" s="45"/>
      <c r="SXB51" s="45"/>
      <c r="SXC51" s="45"/>
      <c r="SXD51" s="45"/>
      <c r="SXE51" s="45"/>
      <c r="SXF51" s="45"/>
      <c r="SXG51" s="45"/>
      <c r="SXH51" s="45"/>
      <c r="SXI51" s="45"/>
      <c r="SXJ51" s="45"/>
      <c r="SXK51" s="45"/>
      <c r="SXL51" s="45"/>
      <c r="SXM51" s="45"/>
      <c r="SXN51" s="45"/>
      <c r="SXO51" s="45"/>
      <c r="SXP51" s="45"/>
      <c r="SXQ51" s="45"/>
      <c r="SXR51" s="45"/>
      <c r="SXS51" s="45"/>
      <c r="SXT51" s="45"/>
      <c r="SXU51" s="45"/>
      <c r="SXV51" s="45"/>
      <c r="SXW51" s="45"/>
      <c r="SXX51" s="45"/>
      <c r="SXY51" s="45"/>
      <c r="SXZ51" s="45"/>
      <c r="SYA51" s="45"/>
      <c r="SYB51" s="45"/>
      <c r="SYC51" s="45"/>
      <c r="SYD51" s="45"/>
      <c r="SYE51" s="45"/>
      <c r="SYF51" s="45"/>
      <c r="SYG51" s="45"/>
      <c r="SYH51" s="45"/>
      <c r="SYI51" s="45"/>
      <c r="SYJ51" s="45"/>
      <c r="SYK51" s="45"/>
      <c r="SYL51" s="45"/>
      <c r="SYM51" s="45"/>
      <c r="SYN51" s="45"/>
      <c r="SYO51" s="45"/>
      <c r="SYP51" s="45"/>
      <c r="SYQ51" s="45"/>
      <c r="SYR51" s="45"/>
      <c r="SYS51" s="45"/>
      <c r="SYT51" s="45"/>
      <c r="SYU51" s="45"/>
      <c r="SYV51" s="45"/>
      <c r="SYW51" s="45"/>
      <c r="SYX51" s="45"/>
      <c r="SYY51" s="45"/>
      <c r="SYZ51" s="45"/>
      <c r="SZA51" s="45"/>
      <c r="SZB51" s="45"/>
      <c r="SZC51" s="45"/>
      <c r="SZD51" s="45"/>
      <c r="SZE51" s="45"/>
      <c r="SZF51" s="45"/>
      <c r="SZG51" s="45"/>
      <c r="SZH51" s="45"/>
      <c r="SZI51" s="45"/>
      <c r="SZJ51" s="45"/>
      <c r="SZK51" s="45"/>
      <c r="SZL51" s="45"/>
      <c r="SZM51" s="45"/>
      <c r="SZN51" s="45"/>
      <c r="SZO51" s="45"/>
      <c r="SZP51" s="45"/>
      <c r="SZQ51" s="45"/>
      <c r="SZR51" s="45"/>
      <c r="SZS51" s="45"/>
      <c r="SZT51" s="45"/>
      <c r="SZU51" s="45"/>
      <c r="SZV51" s="45"/>
      <c r="SZW51" s="45"/>
      <c r="SZX51" s="45"/>
      <c r="SZY51" s="45"/>
      <c r="SZZ51" s="45"/>
      <c r="TAA51" s="45"/>
      <c r="TAB51" s="45"/>
      <c r="TAC51" s="45"/>
      <c r="TAD51" s="45"/>
      <c r="TAE51" s="45"/>
      <c r="TAF51" s="45"/>
      <c r="TAG51" s="45"/>
      <c r="TAH51" s="45"/>
      <c r="TAI51" s="45"/>
      <c r="TAJ51" s="45"/>
      <c r="TAK51" s="45"/>
      <c r="TAL51" s="45"/>
      <c r="TAM51" s="45"/>
      <c r="TAN51" s="45"/>
      <c r="TAO51" s="45"/>
      <c r="TAP51" s="45"/>
      <c r="TAQ51" s="45"/>
      <c r="TAR51" s="45"/>
      <c r="TAS51" s="45"/>
      <c r="TAT51" s="45"/>
      <c r="TAU51" s="45"/>
      <c r="TAV51" s="45"/>
      <c r="TAW51" s="45"/>
      <c r="TAX51" s="45"/>
      <c r="TAY51" s="45"/>
      <c r="TAZ51" s="45"/>
      <c r="TBA51" s="45"/>
      <c r="TBB51" s="45"/>
      <c r="TBC51" s="45"/>
      <c r="TBD51" s="45"/>
      <c r="TBE51" s="45"/>
      <c r="TBF51" s="45"/>
      <c r="TBG51" s="45"/>
      <c r="TBH51" s="45"/>
      <c r="TBI51" s="45"/>
      <c r="TBJ51" s="45"/>
      <c r="TBK51" s="45"/>
      <c r="TBL51" s="45"/>
      <c r="TBM51" s="45"/>
      <c r="TBN51" s="45"/>
      <c r="TBO51" s="45"/>
      <c r="TBP51" s="45"/>
      <c r="TBQ51" s="45"/>
      <c r="TBR51" s="45"/>
      <c r="TBS51" s="45"/>
      <c r="TBT51" s="45"/>
      <c r="TBU51" s="45"/>
      <c r="TBV51" s="45"/>
      <c r="TBW51" s="45"/>
      <c r="TBX51" s="45"/>
      <c r="TBY51" s="45"/>
      <c r="TBZ51" s="45"/>
      <c r="TCA51" s="45"/>
      <c r="TCB51" s="45"/>
      <c r="TCC51" s="45"/>
      <c r="TCD51" s="45"/>
      <c r="TCE51" s="45"/>
      <c r="TCF51" s="45"/>
      <c r="TCG51" s="45"/>
      <c r="TCH51" s="45"/>
      <c r="TCI51" s="45"/>
      <c r="TCJ51" s="45"/>
      <c r="TCK51" s="45"/>
      <c r="TCL51" s="45"/>
      <c r="TCM51" s="45"/>
      <c r="TCN51" s="45"/>
      <c r="TCO51" s="45"/>
      <c r="TCP51" s="45"/>
      <c r="TCQ51" s="45"/>
      <c r="TCR51" s="45"/>
      <c r="TCS51" s="45"/>
      <c r="TCT51" s="45"/>
      <c r="TCU51" s="45"/>
      <c r="TCV51" s="45"/>
      <c r="TCW51" s="45"/>
      <c r="TCX51" s="45"/>
      <c r="TCY51" s="45"/>
      <c r="TCZ51" s="45"/>
      <c r="TDA51" s="45"/>
      <c r="TDB51" s="45"/>
      <c r="TDC51" s="45"/>
      <c r="TDD51" s="45"/>
      <c r="TDE51" s="45"/>
      <c r="TDF51" s="45"/>
      <c r="TDG51" s="45"/>
      <c r="TDH51" s="45"/>
      <c r="TDI51" s="45"/>
      <c r="TDJ51" s="45"/>
      <c r="TDK51" s="45"/>
      <c r="TDL51" s="45"/>
      <c r="TDM51" s="45"/>
      <c r="TDN51" s="45"/>
      <c r="TDO51" s="45"/>
      <c r="TDP51" s="45"/>
      <c r="TDQ51" s="45"/>
      <c r="TDR51" s="45"/>
      <c r="TDS51" s="45"/>
      <c r="TDT51" s="45"/>
      <c r="TDU51" s="45"/>
      <c r="TDV51" s="45"/>
      <c r="TDW51" s="45"/>
      <c r="TDX51" s="45"/>
      <c r="TDY51" s="45"/>
      <c r="TDZ51" s="45"/>
      <c r="TEA51" s="45"/>
      <c r="TEB51" s="45"/>
      <c r="TEC51" s="45"/>
      <c r="TED51" s="45"/>
      <c r="TEE51" s="45"/>
      <c r="TEF51" s="45"/>
      <c r="TEG51" s="45"/>
      <c r="TEH51" s="45"/>
      <c r="TEI51" s="45"/>
      <c r="TEJ51" s="45"/>
      <c r="TEK51" s="45"/>
      <c r="TEL51" s="45"/>
      <c r="TEM51" s="45"/>
      <c r="TEN51" s="45"/>
      <c r="TEO51" s="45"/>
      <c r="TEP51" s="45"/>
      <c r="TEQ51" s="45"/>
      <c r="TER51" s="45"/>
      <c r="TES51" s="45"/>
      <c r="TET51" s="45"/>
      <c r="TEU51" s="45"/>
      <c r="TEV51" s="45"/>
      <c r="TEW51" s="45"/>
      <c r="TEX51" s="45"/>
      <c r="TEY51" s="45"/>
      <c r="TEZ51" s="45"/>
      <c r="TFA51" s="45"/>
      <c r="TFB51" s="45"/>
      <c r="TFC51" s="45"/>
      <c r="TFD51" s="45"/>
      <c r="TFE51" s="45"/>
      <c r="TFF51" s="45"/>
      <c r="TFG51" s="45"/>
      <c r="TFH51" s="45"/>
      <c r="TFI51" s="45"/>
      <c r="TFJ51" s="45"/>
      <c r="TFK51" s="45"/>
      <c r="TFL51" s="45"/>
      <c r="TFM51" s="45"/>
      <c r="TFN51" s="45"/>
      <c r="TFO51" s="45"/>
      <c r="TFP51" s="45"/>
      <c r="TFQ51" s="45"/>
      <c r="TFR51" s="45"/>
      <c r="TFS51" s="45"/>
      <c r="TFT51" s="45"/>
      <c r="TFU51" s="45"/>
      <c r="TFV51" s="45"/>
      <c r="TFW51" s="45"/>
      <c r="TFX51" s="45"/>
      <c r="TFY51" s="45"/>
      <c r="TFZ51" s="45"/>
      <c r="TGA51" s="45"/>
      <c r="TGB51" s="45"/>
      <c r="TGC51" s="45"/>
      <c r="TGD51" s="45"/>
      <c r="TGE51" s="45"/>
      <c r="TGF51" s="45"/>
      <c r="TGG51" s="45"/>
      <c r="TGH51" s="45"/>
      <c r="TGI51" s="45"/>
      <c r="TGJ51" s="45"/>
      <c r="TGK51" s="45"/>
      <c r="TGL51" s="45"/>
      <c r="TGM51" s="45"/>
      <c r="TGN51" s="45"/>
      <c r="TGO51" s="45"/>
      <c r="TGP51" s="45"/>
      <c r="TGQ51" s="45"/>
      <c r="TGR51" s="45"/>
      <c r="TGS51" s="45"/>
      <c r="TGT51" s="45"/>
      <c r="TGU51" s="45"/>
      <c r="TGV51" s="45"/>
      <c r="TGW51" s="45"/>
      <c r="TGX51" s="45"/>
      <c r="TGY51" s="45"/>
      <c r="TGZ51" s="45"/>
      <c r="THA51" s="45"/>
      <c r="THB51" s="45"/>
      <c r="THC51" s="45"/>
      <c r="THD51" s="45"/>
      <c r="THE51" s="45"/>
      <c r="THF51" s="45"/>
      <c r="THG51" s="45"/>
      <c r="THH51" s="45"/>
      <c r="THI51" s="45"/>
      <c r="THJ51" s="45"/>
      <c r="THK51" s="45"/>
      <c r="THL51" s="45"/>
      <c r="THM51" s="45"/>
      <c r="THN51" s="45"/>
      <c r="THO51" s="45"/>
      <c r="THP51" s="45"/>
      <c r="THQ51" s="45"/>
      <c r="THR51" s="45"/>
      <c r="THS51" s="45"/>
      <c r="THT51" s="45"/>
      <c r="THU51" s="45"/>
      <c r="THV51" s="45"/>
      <c r="THW51" s="45"/>
      <c r="THX51" s="45"/>
      <c r="THY51" s="45"/>
      <c r="THZ51" s="45"/>
      <c r="TIA51" s="45"/>
      <c r="TIB51" s="45"/>
      <c r="TIC51" s="45"/>
      <c r="TID51" s="45"/>
      <c r="TIE51" s="45"/>
      <c r="TIF51" s="45"/>
      <c r="TIG51" s="45"/>
      <c r="TIH51" s="45"/>
      <c r="TII51" s="45"/>
      <c r="TIJ51" s="45"/>
      <c r="TIK51" s="45"/>
      <c r="TIL51" s="45"/>
      <c r="TIM51" s="45"/>
      <c r="TIN51" s="45"/>
      <c r="TIO51" s="45"/>
      <c r="TIP51" s="45"/>
      <c r="TIQ51" s="45"/>
      <c r="TIR51" s="45"/>
      <c r="TIS51" s="45"/>
      <c r="TIT51" s="45"/>
      <c r="TIU51" s="45"/>
      <c r="TIV51" s="45"/>
      <c r="TIW51" s="45"/>
      <c r="TIX51" s="45"/>
      <c r="TIY51" s="45"/>
      <c r="TIZ51" s="45"/>
      <c r="TJA51" s="45"/>
      <c r="TJB51" s="45"/>
      <c r="TJC51" s="45"/>
      <c r="TJD51" s="45"/>
      <c r="TJE51" s="45"/>
      <c r="TJF51" s="45"/>
      <c r="TJG51" s="45"/>
      <c r="TJH51" s="45"/>
      <c r="TJI51" s="45"/>
      <c r="TJJ51" s="45"/>
      <c r="TJK51" s="45"/>
      <c r="TJL51" s="45"/>
      <c r="TJM51" s="45"/>
      <c r="TJN51" s="45"/>
      <c r="TJO51" s="45"/>
      <c r="TJP51" s="45"/>
      <c r="TJQ51" s="45"/>
      <c r="TJR51" s="45"/>
      <c r="TJS51" s="45"/>
      <c r="TJT51" s="45"/>
      <c r="TJU51" s="45"/>
      <c r="TJV51" s="45"/>
      <c r="TJW51" s="45"/>
      <c r="TJX51" s="45"/>
      <c r="TJY51" s="45"/>
      <c r="TJZ51" s="45"/>
      <c r="TKA51" s="45"/>
      <c r="TKB51" s="45"/>
      <c r="TKC51" s="45"/>
      <c r="TKD51" s="45"/>
      <c r="TKE51" s="45"/>
      <c r="TKF51" s="45"/>
      <c r="TKG51" s="45"/>
      <c r="TKH51" s="45"/>
      <c r="TKI51" s="45"/>
      <c r="TKJ51" s="45"/>
      <c r="TKK51" s="45"/>
      <c r="TKL51" s="45"/>
      <c r="TKM51" s="45"/>
      <c r="TKN51" s="45"/>
      <c r="TKO51" s="45"/>
      <c r="TKP51" s="45"/>
      <c r="TKQ51" s="45"/>
      <c r="TKR51" s="45"/>
      <c r="TKS51" s="45"/>
      <c r="TKT51" s="45"/>
      <c r="TKU51" s="45"/>
      <c r="TKV51" s="45"/>
      <c r="TKW51" s="45"/>
      <c r="TKX51" s="45"/>
      <c r="TKY51" s="45"/>
      <c r="TKZ51" s="45"/>
      <c r="TLA51" s="45"/>
      <c r="TLB51" s="45"/>
      <c r="TLC51" s="45"/>
      <c r="TLD51" s="45"/>
      <c r="TLE51" s="45"/>
      <c r="TLF51" s="45"/>
      <c r="TLG51" s="45"/>
      <c r="TLH51" s="45"/>
      <c r="TLI51" s="45"/>
      <c r="TLJ51" s="45"/>
      <c r="TLK51" s="45"/>
      <c r="TLL51" s="45"/>
      <c r="TLM51" s="45"/>
      <c r="TLN51" s="45"/>
      <c r="TLO51" s="45"/>
      <c r="TLP51" s="45"/>
      <c r="TLQ51" s="45"/>
      <c r="TLR51" s="45"/>
      <c r="TLS51" s="45"/>
      <c r="TLT51" s="45"/>
      <c r="TLU51" s="45"/>
      <c r="TLV51" s="45"/>
      <c r="TLW51" s="45"/>
      <c r="TLX51" s="45"/>
      <c r="TLY51" s="45"/>
      <c r="TLZ51" s="45"/>
      <c r="TMA51" s="45"/>
      <c r="TMB51" s="45"/>
      <c r="TMC51" s="45"/>
      <c r="TMD51" s="45"/>
      <c r="TME51" s="45"/>
      <c r="TMF51" s="45"/>
      <c r="TMG51" s="45"/>
      <c r="TMH51" s="45"/>
      <c r="TMI51" s="45"/>
      <c r="TMJ51" s="45"/>
      <c r="TMK51" s="45"/>
      <c r="TML51" s="45"/>
      <c r="TMM51" s="45"/>
      <c r="TMN51" s="45"/>
      <c r="TMO51" s="45"/>
      <c r="TMP51" s="45"/>
      <c r="TMQ51" s="45"/>
      <c r="TMR51" s="45"/>
      <c r="TMS51" s="45"/>
      <c r="TMT51" s="45"/>
      <c r="TMU51" s="45"/>
      <c r="TMV51" s="45"/>
      <c r="TMW51" s="45"/>
      <c r="TMX51" s="45"/>
      <c r="TMY51" s="45"/>
      <c r="TMZ51" s="45"/>
      <c r="TNA51" s="45"/>
      <c r="TNB51" s="45"/>
      <c r="TNC51" s="45"/>
      <c r="TND51" s="45"/>
      <c r="TNE51" s="45"/>
      <c r="TNF51" s="45"/>
      <c r="TNG51" s="45"/>
      <c r="TNH51" s="45"/>
      <c r="TNI51" s="45"/>
      <c r="TNJ51" s="45"/>
      <c r="TNK51" s="45"/>
      <c r="TNL51" s="45"/>
      <c r="TNM51" s="45"/>
      <c r="TNN51" s="45"/>
      <c r="TNO51" s="45"/>
      <c r="TNP51" s="45"/>
      <c r="TNQ51" s="45"/>
      <c r="TNR51" s="45"/>
      <c r="TNS51" s="45"/>
      <c r="TNT51" s="45"/>
      <c r="TNU51" s="45"/>
      <c r="TNV51" s="45"/>
      <c r="TNW51" s="45"/>
      <c r="TNX51" s="45"/>
      <c r="TNY51" s="45"/>
      <c r="TNZ51" s="45"/>
      <c r="TOA51" s="45"/>
      <c r="TOB51" s="45"/>
      <c r="TOC51" s="45"/>
      <c r="TOD51" s="45"/>
      <c r="TOE51" s="45"/>
      <c r="TOF51" s="45"/>
      <c r="TOG51" s="45"/>
      <c r="TOH51" s="45"/>
      <c r="TOI51" s="45"/>
      <c r="TOJ51" s="45"/>
      <c r="TOK51" s="45"/>
      <c r="TOL51" s="45"/>
      <c r="TOM51" s="45"/>
      <c r="TON51" s="45"/>
      <c r="TOO51" s="45"/>
      <c r="TOP51" s="45"/>
      <c r="TOQ51" s="45"/>
      <c r="TOR51" s="45"/>
      <c r="TOS51" s="45"/>
      <c r="TOT51" s="45"/>
      <c r="TOU51" s="45"/>
      <c r="TOV51" s="45"/>
      <c r="TOW51" s="45"/>
      <c r="TOX51" s="45"/>
      <c r="TOY51" s="45"/>
      <c r="TOZ51" s="45"/>
      <c r="TPA51" s="45"/>
      <c r="TPB51" s="45"/>
      <c r="TPC51" s="45"/>
      <c r="TPD51" s="45"/>
      <c r="TPE51" s="45"/>
      <c r="TPF51" s="45"/>
      <c r="TPG51" s="45"/>
      <c r="TPH51" s="45"/>
      <c r="TPI51" s="45"/>
      <c r="TPJ51" s="45"/>
      <c r="TPK51" s="45"/>
      <c r="TPL51" s="45"/>
      <c r="TPM51" s="45"/>
      <c r="TPN51" s="45"/>
      <c r="TPO51" s="45"/>
      <c r="TPP51" s="45"/>
      <c r="TPQ51" s="45"/>
      <c r="TPR51" s="45"/>
      <c r="TPS51" s="45"/>
      <c r="TPT51" s="45"/>
      <c r="TPU51" s="45"/>
      <c r="TPV51" s="45"/>
      <c r="TPW51" s="45"/>
      <c r="TPX51" s="45"/>
      <c r="TPY51" s="45"/>
      <c r="TPZ51" s="45"/>
      <c r="TQA51" s="45"/>
      <c r="TQB51" s="45"/>
      <c r="TQC51" s="45"/>
      <c r="TQD51" s="45"/>
      <c r="TQE51" s="45"/>
      <c r="TQF51" s="45"/>
      <c r="TQG51" s="45"/>
      <c r="TQH51" s="45"/>
      <c r="TQI51" s="45"/>
      <c r="TQJ51" s="45"/>
      <c r="TQK51" s="45"/>
      <c r="TQL51" s="45"/>
      <c r="TQM51" s="45"/>
      <c r="TQN51" s="45"/>
      <c r="TQO51" s="45"/>
      <c r="TQP51" s="45"/>
      <c r="TQQ51" s="45"/>
      <c r="TQR51" s="45"/>
      <c r="TQS51" s="45"/>
      <c r="TQT51" s="45"/>
      <c r="TQU51" s="45"/>
      <c r="TQV51" s="45"/>
      <c r="TQW51" s="45"/>
      <c r="TQX51" s="45"/>
      <c r="TQY51" s="45"/>
      <c r="TQZ51" s="45"/>
      <c r="TRA51" s="45"/>
      <c r="TRB51" s="45"/>
      <c r="TRC51" s="45"/>
      <c r="TRD51" s="45"/>
      <c r="TRE51" s="45"/>
      <c r="TRF51" s="45"/>
      <c r="TRG51" s="45"/>
      <c r="TRH51" s="45"/>
      <c r="TRI51" s="45"/>
      <c r="TRJ51" s="45"/>
      <c r="TRK51" s="45"/>
      <c r="TRL51" s="45"/>
      <c r="TRM51" s="45"/>
      <c r="TRN51" s="45"/>
      <c r="TRO51" s="45"/>
      <c r="TRP51" s="45"/>
      <c r="TRQ51" s="45"/>
      <c r="TRR51" s="45"/>
      <c r="TRS51" s="45"/>
      <c r="TRT51" s="45"/>
      <c r="TRU51" s="45"/>
      <c r="TRV51" s="45"/>
      <c r="TRW51" s="45"/>
      <c r="TRX51" s="45"/>
      <c r="TRY51" s="45"/>
      <c r="TRZ51" s="45"/>
      <c r="TSA51" s="45"/>
      <c r="TSB51" s="45"/>
      <c r="TSC51" s="45"/>
      <c r="TSD51" s="45"/>
      <c r="TSE51" s="45"/>
      <c r="TSF51" s="45"/>
      <c r="TSG51" s="45"/>
      <c r="TSH51" s="45"/>
      <c r="TSI51" s="45"/>
      <c r="TSJ51" s="45"/>
      <c r="TSK51" s="45"/>
      <c r="TSL51" s="45"/>
      <c r="TSM51" s="45"/>
      <c r="TSN51" s="45"/>
      <c r="TSO51" s="45"/>
      <c r="TSP51" s="45"/>
      <c r="TSQ51" s="45"/>
      <c r="TSR51" s="45"/>
      <c r="TSS51" s="45"/>
      <c r="TST51" s="45"/>
      <c r="TSU51" s="45"/>
      <c r="TSV51" s="45"/>
      <c r="TSW51" s="45"/>
      <c r="TSX51" s="45"/>
      <c r="TSY51" s="45"/>
      <c r="TSZ51" s="45"/>
      <c r="TTA51" s="45"/>
      <c r="TTB51" s="45"/>
      <c r="TTC51" s="45"/>
      <c r="TTD51" s="45"/>
      <c r="TTE51" s="45"/>
      <c r="TTF51" s="45"/>
      <c r="TTG51" s="45"/>
      <c r="TTH51" s="45"/>
      <c r="TTI51" s="45"/>
      <c r="TTJ51" s="45"/>
      <c r="TTK51" s="45"/>
      <c r="TTL51" s="45"/>
      <c r="TTM51" s="45"/>
      <c r="TTN51" s="45"/>
      <c r="TTO51" s="45"/>
      <c r="TTP51" s="45"/>
      <c r="TTQ51" s="45"/>
      <c r="TTR51" s="45"/>
      <c r="TTS51" s="45"/>
      <c r="TTT51" s="45"/>
      <c r="TTU51" s="45"/>
      <c r="TTV51" s="45"/>
      <c r="TTW51" s="45"/>
      <c r="TTX51" s="45"/>
      <c r="TTY51" s="45"/>
      <c r="TTZ51" s="45"/>
      <c r="TUA51" s="45"/>
      <c r="TUB51" s="45"/>
      <c r="TUC51" s="45"/>
      <c r="TUD51" s="45"/>
      <c r="TUE51" s="45"/>
      <c r="TUF51" s="45"/>
      <c r="TUG51" s="45"/>
      <c r="TUH51" s="45"/>
      <c r="TUI51" s="45"/>
      <c r="TUJ51" s="45"/>
      <c r="TUK51" s="45"/>
      <c r="TUL51" s="45"/>
      <c r="TUM51" s="45"/>
      <c r="TUN51" s="45"/>
      <c r="TUO51" s="45"/>
      <c r="TUP51" s="45"/>
      <c r="TUQ51" s="45"/>
      <c r="TUR51" s="45"/>
      <c r="TUS51" s="45"/>
      <c r="TUT51" s="45"/>
      <c r="TUU51" s="45"/>
      <c r="TUV51" s="45"/>
      <c r="TUW51" s="45"/>
      <c r="TUX51" s="45"/>
      <c r="TUY51" s="45"/>
      <c r="TUZ51" s="45"/>
      <c r="TVA51" s="45"/>
      <c r="TVB51" s="45"/>
      <c r="TVC51" s="45"/>
      <c r="TVD51" s="45"/>
      <c r="TVE51" s="45"/>
      <c r="TVF51" s="45"/>
      <c r="TVG51" s="45"/>
      <c r="TVH51" s="45"/>
      <c r="TVI51" s="45"/>
      <c r="TVJ51" s="45"/>
      <c r="TVK51" s="45"/>
      <c r="TVL51" s="45"/>
      <c r="TVM51" s="45"/>
      <c r="TVN51" s="45"/>
      <c r="TVO51" s="45"/>
      <c r="TVP51" s="45"/>
      <c r="TVQ51" s="45"/>
      <c r="TVR51" s="45"/>
      <c r="TVS51" s="45"/>
      <c r="TVT51" s="45"/>
      <c r="TVU51" s="45"/>
      <c r="TVV51" s="45"/>
      <c r="TVW51" s="45"/>
      <c r="TVX51" s="45"/>
      <c r="TVY51" s="45"/>
      <c r="TVZ51" s="45"/>
      <c r="TWA51" s="45"/>
      <c r="TWB51" s="45"/>
      <c r="TWC51" s="45"/>
      <c r="TWD51" s="45"/>
      <c r="TWE51" s="45"/>
      <c r="TWF51" s="45"/>
      <c r="TWG51" s="45"/>
      <c r="TWH51" s="45"/>
      <c r="TWI51" s="45"/>
      <c r="TWJ51" s="45"/>
      <c r="TWK51" s="45"/>
      <c r="TWL51" s="45"/>
      <c r="TWM51" s="45"/>
      <c r="TWN51" s="45"/>
      <c r="TWO51" s="45"/>
      <c r="TWP51" s="45"/>
      <c r="TWQ51" s="45"/>
      <c r="TWR51" s="45"/>
      <c r="TWS51" s="45"/>
      <c r="TWT51" s="45"/>
      <c r="TWU51" s="45"/>
      <c r="TWV51" s="45"/>
      <c r="TWW51" s="45"/>
      <c r="TWX51" s="45"/>
      <c r="TWY51" s="45"/>
      <c r="TWZ51" s="45"/>
      <c r="TXA51" s="45"/>
      <c r="TXB51" s="45"/>
      <c r="TXC51" s="45"/>
      <c r="TXD51" s="45"/>
      <c r="TXE51" s="45"/>
      <c r="TXF51" s="45"/>
      <c r="TXG51" s="45"/>
      <c r="TXH51" s="45"/>
      <c r="TXI51" s="45"/>
      <c r="TXJ51" s="45"/>
      <c r="TXK51" s="45"/>
      <c r="TXL51" s="45"/>
      <c r="TXM51" s="45"/>
      <c r="TXN51" s="45"/>
      <c r="TXO51" s="45"/>
      <c r="TXP51" s="45"/>
      <c r="TXQ51" s="45"/>
      <c r="TXR51" s="45"/>
      <c r="TXS51" s="45"/>
      <c r="TXT51" s="45"/>
      <c r="TXU51" s="45"/>
      <c r="TXV51" s="45"/>
      <c r="TXW51" s="45"/>
      <c r="TXX51" s="45"/>
      <c r="TXY51" s="45"/>
      <c r="TXZ51" s="45"/>
      <c r="TYA51" s="45"/>
      <c r="TYB51" s="45"/>
      <c r="TYC51" s="45"/>
      <c r="TYD51" s="45"/>
      <c r="TYE51" s="45"/>
      <c r="TYF51" s="45"/>
      <c r="TYG51" s="45"/>
      <c r="TYH51" s="45"/>
      <c r="TYI51" s="45"/>
      <c r="TYJ51" s="45"/>
      <c r="TYK51" s="45"/>
      <c r="TYL51" s="45"/>
      <c r="TYM51" s="45"/>
      <c r="TYN51" s="45"/>
      <c r="TYO51" s="45"/>
      <c r="TYP51" s="45"/>
      <c r="TYQ51" s="45"/>
      <c r="TYR51" s="45"/>
      <c r="TYS51" s="45"/>
      <c r="TYT51" s="45"/>
      <c r="TYU51" s="45"/>
      <c r="TYV51" s="45"/>
      <c r="TYW51" s="45"/>
      <c r="TYX51" s="45"/>
      <c r="TYY51" s="45"/>
      <c r="TYZ51" s="45"/>
      <c r="TZA51" s="45"/>
      <c r="TZB51" s="45"/>
      <c r="TZC51" s="45"/>
      <c r="TZD51" s="45"/>
      <c r="TZE51" s="45"/>
      <c r="TZF51" s="45"/>
      <c r="TZG51" s="45"/>
      <c r="TZH51" s="45"/>
      <c r="TZI51" s="45"/>
      <c r="TZJ51" s="45"/>
      <c r="TZK51" s="45"/>
      <c r="TZL51" s="45"/>
      <c r="TZM51" s="45"/>
      <c r="TZN51" s="45"/>
      <c r="TZO51" s="45"/>
      <c r="TZP51" s="45"/>
      <c r="TZQ51" s="45"/>
      <c r="TZR51" s="45"/>
      <c r="TZS51" s="45"/>
      <c r="TZT51" s="45"/>
      <c r="TZU51" s="45"/>
      <c r="TZV51" s="45"/>
      <c r="TZW51" s="45"/>
      <c r="TZX51" s="45"/>
      <c r="TZY51" s="45"/>
      <c r="TZZ51" s="45"/>
      <c r="UAA51" s="45"/>
      <c r="UAB51" s="45"/>
      <c r="UAC51" s="45"/>
      <c r="UAD51" s="45"/>
      <c r="UAE51" s="45"/>
      <c r="UAF51" s="45"/>
      <c r="UAG51" s="45"/>
      <c r="UAH51" s="45"/>
      <c r="UAI51" s="45"/>
      <c r="UAJ51" s="45"/>
      <c r="UAK51" s="45"/>
      <c r="UAL51" s="45"/>
      <c r="UAM51" s="45"/>
      <c r="UAN51" s="45"/>
      <c r="UAO51" s="45"/>
      <c r="UAP51" s="45"/>
      <c r="UAQ51" s="45"/>
      <c r="UAR51" s="45"/>
      <c r="UAS51" s="45"/>
      <c r="UAT51" s="45"/>
      <c r="UAU51" s="45"/>
      <c r="UAV51" s="45"/>
      <c r="UAW51" s="45"/>
      <c r="UAX51" s="45"/>
      <c r="UAY51" s="45"/>
      <c r="UAZ51" s="45"/>
      <c r="UBA51" s="45"/>
      <c r="UBB51" s="45"/>
      <c r="UBC51" s="45"/>
      <c r="UBD51" s="45"/>
      <c r="UBE51" s="45"/>
      <c r="UBF51" s="45"/>
      <c r="UBG51" s="45"/>
      <c r="UBH51" s="45"/>
      <c r="UBI51" s="45"/>
      <c r="UBJ51" s="45"/>
      <c r="UBK51" s="45"/>
      <c r="UBL51" s="45"/>
      <c r="UBM51" s="45"/>
      <c r="UBN51" s="45"/>
      <c r="UBO51" s="45"/>
      <c r="UBP51" s="45"/>
      <c r="UBQ51" s="45"/>
      <c r="UBR51" s="45"/>
      <c r="UBS51" s="45"/>
      <c r="UBT51" s="45"/>
      <c r="UBU51" s="45"/>
      <c r="UBV51" s="45"/>
      <c r="UBW51" s="45"/>
      <c r="UBX51" s="45"/>
      <c r="UBY51" s="45"/>
      <c r="UBZ51" s="45"/>
      <c r="UCA51" s="45"/>
      <c r="UCB51" s="45"/>
      <c r="UCC51" s="45"/>
      <c r="UCD51" s="45"/>
      <c r="UCE51" s="45"/>
      <c r="UCF51" s="45"/>
      <c r="UCG51" s="45"/>
      <c r="UCH51" s="45"/>
      <c r="UCI51" s="45"/>
      <c r="UCJ51" s="45"/>
      <c r="UCK51" s="45"/>
      <c r="UCL51" s="45"/>
      <c r="UCM51" s="45"/>
      <c r="UCN51" s="45"/>
      <c r="UCO51" s="45"/>
      <c r="UCP51" s="45"/>
      <c r="UCQ51" s="45"/>
      <c r="UCR51" s="45"/>
      <c r="UCS51" s="45"/>
      <c r="UCT51" s="45"/>
      <c r="UCU51" s="45"/>
      <c r="UCV51" s="45"/>
      <c r="UCW51" s="45"/>
      <c r="UCX51" s="45"/>
      <c r="UCY51" s="45"/>
      <c r="UCZ51" s="45"/>
      <c r="UDA51" s="45"/>
      <c r="UDB51" s="45"/>
      <c r="UDC51" s="45"/>
      <c r="UDD51" s="45"/>
      <c r="UDE51" s="45"/>
      <c r="UDF51" s="45"/>
      <c r="UDG51" s="45"/>
      <c r="UDH51" s="45"/>
      <c r="UDI51" s="45"/>
      <c r="UDJ51" s="45"/>
      <c r="UDK51" s="45"/>
      <c r="UDL51" s="45"/>
      <c r="UDM51" s="45"/>
      <c r="UDN51" s="45"/>
      <c r="UDO51" s="45"/>
      <c r="UDP51" s="45"/>
      <c r="UDQ51" s="45"/>
      <c r="UDR51" s="45"/>
      <c r="UDS51" s="45"/>
      <c r="UDT51" s="45"/>
      <c r="UDU51" s="45"/>
      <c r="UDV51" s="45"/>
      <c r="UDW51" s="45"/>
      <c r="UDX51" s="45"/>
      <c r="UDY51" s="45"/>
      <c r="UDZ51" s="45"/>
      <c r="UEA51" s="45"/>
      <c r="UEB51" s="45"/>
      <c r="UEC51" s="45"/>
      <c r="UED51" s="45"/>
      <c r="UEE51" s="45"/>
      <c r="UEF51" s="45"/>
      <c r="UEG51" s="45"/>
      <c r="UEH51" s="45"/>
      <c r="UEI51" s="45"/>
      <c r="UEJ51" s="45"/>
      <c r="UEK51" s="45"/>
      <c r="UEL51" s="45"/>
      <c r="UEM51" s="45"/>
      <c r="UEN51" s="45"/>
      <c r="UEO51" s="45"/>
      <c r="UEP51" s="45"/>
      <c r="UEQ51" s="45"/>
      <c r="UER51" s="45"/>
      <c r="UES51" s="45"/>
      <c r="UET51" s="45"/>
      <c r="UEU51" s="45"/>
      <c r="UEV51" s="45"/>
      <c r="UEW51" s="45"/>
      <c r="UEX51" s="45"/>
      <c r="UEY51" s="45"/>
      <c r="UEZ51" s="45"/>
      <c r="UFA51" s="45"/>
      <c r="UFB51" s="45"/>
      <c r="UFC51" s="45"/>
      <c r="UFD51" s="45"/>
      <c r="UFE51" s="45"/>
      <c r="UFF51" s="45"/>
      <c r="UFG51" s="45"/>
      <c r="UFH51" s="45"/>
      <c r="UFI51" s="45"/>
      <c r="UFJ51" s="45"/>
      <c r="UFK51" s="45"/>
      <c r="UFL51" s="45"/>
      <c r="UFM51" s="45"/>
      <c r="UFN51" s="45"/>
      <c r="UFO51" s="45"/>
      <c r="UFP51" s="45"/>
      <c r="UFQ51" s="45"/>
      <c r="UFR51" s="45"/>
      <c r="UFS51" s="45"/>
      <c r="UFT51" s="45"/>
      <c r="UFU51" s="45"/>
      <c r="UFV51" s="45"/>
      <c r="UFW51" s="45"/>
      <c r="UFX51" s="45"/>
      <c r="UFY51" s="45"/>
      <c r="UFZ51" s="45"/>
      <c r="UGA51" s="45"/>
      <c r="UGB51" s="45"/>
      <c r="UGC51" s="45"/>
      <c r="UGD51" s="45"/>
      <c r="UGE51" s="45"/>
      <c r="UGF51" s="45"/>
      <c r="UGG51" s="45"/>
      <c r="UGH51" s="45"/>
      <c r="UGI51" s="45"/>
      <c r="UGJ51" s="45"/>
      <c r="UGK51" s="45"/>
      <c r="UGL51" s="45"/>
      <c r="UGM51" s="45"/>
      <c r="UGN51" s="45"/>
      <c r="UGO51" s="45"/>
      <c r="UGP51" s="45"/>
      <c r="UGQ51" s="45"/>
      <c r="UGR51" s="45"/>
      <c r="UGS51" s="45"/>
      <c r="UGT51" s="45"/>
      <c r="UGU51" s="45"/>
      <c r="UGV51" s="45"/>
      <c r="UGW51" s="45"/>
      <c r="UGX51" s="45"/>
      <c r="UGY51" s="45"/>
      <c r="UGZ51" s="45"/>
      <c r="UHA51" s="45"/>
      <c r="UHB51" s="45"/>
      <c r="UHC51" s="45"/>
      <c r="UHD51" s="45"/>
      <c r="UHE51" s="45"/>
      <c r="UHF51" s="45"/>
      <c r="UHG51" s="45"/>
      <c r="UHH51" s="45"/>
      <c r="UHI51" s="45"/>
      <c r="UHJ51" s="45"/>
      <c r="UHK51" s="45"/>
      <c r="UHL51" s="45"/>
      <c r="UHM51" s="45"/>
      <c r="UHN51" s="45"/>
      <c r="UHO51" s="45"/>
      <c r="UHP51" s="45"/>
      <c r="UHQ51" s="45"/>
      <c r="UHR51" s="45"/>
      <c r="UHS51" s="45"/>
      <c r="UHT51" s="45"/>
      <c r="UHU51" s="45"/>
      <c r="UHV51" s="45"/>
      <c r="UHW51" s="45"/>
      <c r="UHX51" s="45"/>
      <c r="UHY51" s="45"/>
      <c r="UHZ51" s="45"/>
      <c r="UIA51" s="45"/>
      <c r="UIB51" s="45"/>
      <c r="UIC51" s="45"/>
      <c r="UID51" s="45"/>
      <c r="UIE51" s="45"/>
      <c r="UIF51" s="45"/>
      <c r="UIG51" s="45"/>
      <c r="UIH51" s="45"/>
      <c r="UII51" s="45"/>
      <c r="UIJ51" s="45"/>
      <c r="UIK51" s="45"/>
      <c r="UIL51" s="45"/>
      <c r="UIM51" s="45"/>
      <c r="UIN51" s="45"/>
      <c r="UIO51" s="45"/>
      <c r="UIP51" s="45"/>
      <c r="UIQ51" s="45"/>
      <c r="UIR51" s="45"/>
      <c r="UIS51" s="45"/>
      <c r="UIT51" s="45"/>
      <c r="UIU51" s="45"/>
      <c r="UIV51" s="45"/>
      <c r="UIW51" s="45"/>
      <c r="UIX51" s="45"/>
      <c r="UIY51" s="45"/>
      <c r="UIZ51" s="45"/>
      <c r="UJA51" s="45"/>
      <c r="UJB51" s="45"/>
      <c r="UJC51" s="45"/>
      <c r="UJD51" s="45"/>
      <c r="UJE51" s="45"/>
      <c r="UJF51" s="45"/>
      <c r="UJG51" s="45"/>
      <c r="UJH51" s="45"/>
      <c r="UJI51" s="45"/>
      <c r="UJJ51" s="45"/>
      <c r="UJK51" s="45"/>
      <c r="UJL51" s="45"/>
      <c r="UJM51" s="45"/>
      <c r="UJN51" s="45"/>
      <c r="UJO51" s="45"/>
      <c r="UJP51" s="45"/>
      <c r="UJQ51" s="45"/>
      <c r="UJR51" s="45"/>
      <c r="UJS51" s="45"/>
      <c r="UJT51" s="45"/>
      <c r="UJU51" s="45"/>
      <c r="UJV51" s="45"/>
      <c r="UJW51" s="45"/>
      <c r="UJX51" s="45"/>
      <c r="UJY51" s="45"/>
      <c r="UJZ51" s="45"/>
      <c r="UKA51" s="45"/>
      <c r="UKB51" s="45"/>
      <c r="UKC51" s="45"/>
      <c r="UKD51" s="45"/>
      <c r="UKE51" s="45"/>
      <c r="UKF51" s="45"/>
      <c r="UKG51" s="45"/>
      <c r="UKH51" s="45"/>
      <c r="UKI51" s="45"/>
      <c r="UKJ51" s="45"/>
      <c r="UKK51" s="45"/>
      <c r="UKL51" s="45"/>
      <c r="UKM51" s="45"/>
      <c r="UKN51" s="45"/>
      <c r="UKO51" s="45"/>
      <c r="UKP51" s="45"/>
      <c r="UKQ51" s="45"/>
      <c r="UKR51" s="45"/>
      <c r="UKS51" s="45"/>
      <c r="UKT51" s="45"/>
      <c r="UKU51" s="45"/>
      <c r="UKV51" s="45"/>
      <c r="UKW51" s="45"/>
      <c r="UKX51" s="45"/>
      <c r="UKY51" s="45"/>
      <c r="UKZ51" s="45"/>
      <c r="ULA51" s="45"/>
      <c r="ULB51" s="45"/>
      <c r="ULC51" s="45"/>
      <c r="ULD51" s="45"/>
      <c r="ULE51" s="45"/>
      <c r="ULF51" s="45"/>
      <c r="ULG51" s="45"/>
      <c r="ULH51" s="45"/>
      <c r="ULI51" s="45"/>
      <c r="ULJ51" s="45"/>
      <c r="ULK51" s="45"/>
      <c r="ULL51" s="45"/>
      <c r="ULM51" s="45"/>
      <c r="ULN51" s="45"/>
      <c r="ULO51" s="45"/>
      <c r="ULP51" s="45"/>
      <c r="ULQ51" s="45"/>
      <c r="ULR51" s="45"/>
      <c r="ULS51" s="45"/>
      <c r="ULT51" s="45"/>
      <c r="ULU51" s="45"/>
      <c r="ULV51" s="45"/>
      <c r="ULW51" s="45"/>
      <c r="ULX51" s="45"/>
      <c r="ULY51" s="45"/>
      <c r="ULZ51" s="45"/>
      <c r="UMA51" s="45"/>
      <c r="UMB51" s="45"/>
      <c r="UMC51" s="45"/>
      <c r="UMD51" s="45"/>
      <c r="UME51" s="45"/>
      <c r="UMF51" s="45"/>
      <c r="UMG51" s="45"/>
      <c r="UMH51" s="45"/>
      <c r="UMI51" s="45"/>
      <c r="UMJ51" s="45"/>
      <c r="UMK51" s="45"/>
      <c r="UML51" s="45"/>
      <c r="UMM51" s="45"/>
      <c r="UMN51" s="45"/>
      <c r="UMO51" s="45"/>
      <c r="UMP51" s="45"/>
      <c r="UMQ51" s="45"/>
      <c r="UMR51" s="45"/>
      <c r="UMS51" s="45"/>
      <c r="UMT51" s="45"/>
      <c r="UMU51" s="45"/>
      <c r="UMV51" s="45"/>
      <c r="UMW51" s="45"/>
      <c r="UMX51" s="45"/>
      <c r="UMY51" s="45"/>
      <c r="UMZ51" s="45"/>
      <c r="UNA51" s="45"/>
      <c r="UNB51" s="45"/>
      <c r="UNC51" s="45"/>
      <c r="UND51" s="45"/>
      <c r="UNE51" s="45"/>
      <c r="UNF51" s="45"/>
      <c r="UNG51" s="45"/>
      <c r="UNH51" s="45"/>
      <c r="UNI51" s="45"/>
      <c r="UNJ51" s="45"/>
      <c r="UNK51" s="45"/>
      <c r="UNL51" s="45"/>
      <c r="UNM51" s="45"/>
      <c r="UNN51" s="45"/>
      <c r="UNO51" s="45"/>
      <c r="UNP51" s="45"/>
      <c r="UNQ51" s="45"/>
      <c r="UNR51" s="45"/>
      <c r="UNS51" s="45"/>
      <c r="UNT51" s="45"/>
      <c r="UNU51" s="45"/>
      <c r="UNV51" s="45"/>
      <c r="UNW51" s="45"/>
      <c r="UNX51" s="45"/>
      <c r="UNY51" s="45"/>
      <c r="UNZ51" s="45"/>
      <c r="UOA51" s="45"/>
      <c r="UOB51" s="45"/>
      <c r="UOC51" s="45"/>
      <c r="UOD51" s="45"/>
      <c r="UOE51" s="45"/>
      <c r="UOF51" s="45"/>
      <c r="UOG51" s="45"/>
      <c r="UOH51" s="45"/>
      <c r="UOI51" s="45"/>
      <c r="UOJ51" s="45"/>
      <c r="UOK51" s="45"/>
      <c r="UOL51" s="45"/>
      <c r="UOM51" s="45"/>
      <c r="UON51" s="45"/>
      <c r="UOO51" s="45"/>
      <c r="UOP51" s="45"/>
      <c r="UOQ51" s="45"/>
      <c r="UOR51" s="45"/>
      <c r="UOS51" s="45"/>
      <c r="UOT51" s="45"/>
      <c r="UOU51" s="45"/>
      <c r="UOV51" s="45"/>
      <c r="UOW51" s="45"/>
      <c r="UOX51" s="45"/>
      <c r="UOY51" s="45"/>
      <c r="UOZ51" s="45"/>
      <c r="UPA51" s="45"/>
      <c r="UPB51" s="45"/>
      <c r="UPC51" s="45"/>
      <c r="UPD51" s="45"/>
      <c r="UPE51" s="45"/>
      <c r="UPF51" s="45"/>
      <c r="UPG51" s="45"/>
      <c r="UPH51" s="45"/>
      <c r="UPI51" s="45"/>
      <c r="UPJ51" s="45"/>
      <c r="UPK51" s="45"/>
      <c r="UPL51" s="45"/>
      <c r="UPM51" s="45"/>
      <c r="UPN51" s="45"/>
      <c r="UPO51" s="45"/>
      <c r="UPP51" s="45"/>
      <c r="UPQ51" s="45"/>
      <c r="UPR51" s="45"/>
      <c r="UPS51" s="45"/>
      <c r="UPT51" s="45"/>
      <c r="UPU51" s="45"/>
      <c r="UPV51" s="45"/>
      <c r="UPW51" s="45"/>
      <c r="UPX51" s="45"/>
      <c r="UPY51" s="45"/>
      <c r="UPZ51" s="45"/>
      <c r="UQA51" s="45"/>
      <c r="UQB51" s="45"/>
      <c r="UQC51" s="45"/>
      <c r="UQD51" s="45"/>
      <c r="UQE51" s="45"/>
      <c r="UQF51" s="45"/>
      <c r="UQG51" s="45"/>
      <c r="UQH51" s="45"/>
      <c r="UQI51" s="45"/>
      <c r="UQJ51" s="45"/>
      <c r="UQK51" s="45"/>
      <c r="UQL51" s="45"/>
      <c r="UQM51" s="45"/>
      <c r="UQN51" s="45"/>
      <c r="UQO51" s="45"/>
      <c r="UQP51" s="45"/>
      <c r="UQQ51" s="45"/>
      <c r="UQR51" s="45"/>
      <c r="UQS51" s="45"/>
      <c r="UQT51" s="45"/>
      <c r="UQU51" s="45"/>
      <c r="UQV51" s="45"/>
      <c r="UQW51" s="45"/>
      <c r="UQX51" s="45"/>
      <c r="UQY51" s="45"/>
      <c r="UQZ51" s="45"/>
      <c r="URA51" s="45"/>
      <c r="URB51" s="45"/>
      <c r="URC51" s="45"/>
      <c r="URD51" s="45"/>
      <c r="URE51" s="45"/>
      <c r="URF51" s="45"/>
      <c r="URG51" s="45"/>
      <c r="URH51" s="45"/>
      <c r="URI51" s="45"/>
      <c r="URJ51" s="45"/>
      <c r="URK51" s="45"/>
      <c r="URL51" s="45"/>
      <c r="URM51" s="45"/>
      <c r="URN51" s="45"/>
      <c r="URO51" s="45"/>
      <c r="URP51" s="45"/>
      <c r="URQ51" s="45"/>
      <c r="URR51" s="45"/>
      <c r="URS51" s="45"/>
      <c r="URT51" s="45"/>
      <c r="URU51" s="45"/>
      <c r="URV51" s="45"/>
      <c r="URW51" s="45"/>
      <c r="URX51" s="45"/>
      <c r="URY51" s="45"/>
      <c r="URZ51" s="45"/>
      <c r="USA51" s="45"/>
      <c r="USB51" s="45"/>
      <c r="USC51" s="45"/>
      <c r="USD51" s="45"/>
      <c r="USE51" s="45"/>
      <c r="USF51" s="45"/>
      <c r="USG51" s="45"/>
      <c r="USH51" s="45"/>
      <c r="USI51" s="45"/>
      <c r="USJ51" s="45"/>
      <c r="USK51" s="45"/>
      <c r="USL51" s="45"/>
      <c r="USM51" s="45"/>
      <c r="USN51" s="45"/>
      <c r="USO51" s="45"/>
      <c r="USP51" s="45"/>
      <c r="USQ51" s="45"/>
      <c r="USR51" s="45"/>
      <c r="USS51" s="45"/>
      <c r="UST51" s="45"/>
      <c r="USU51" s="45"/>
      <c r="USV51" s="45"/>
      <c r="USW51" s="45"/>
      <c r="USX51" s="45"/>
      <c r="USY51" s="45"/>
      <c r="USZ51" s="45"/>
      <c r="UTA51" s="45"/>
      <c r="UTB51" s="45"/>
      <c r="UTC51" s="45"/>
      <c r="UTD51" s="45"/>
      <c r="UTE51" s="45"/>
      <c r="UTF51" s="45"/>
      <c r="UTG51" s="45"/>
      <c r="UTH51" s="45"/>
      <c r="UTI51" s="45"/>
      <c r="UTJ51" s="45"/>
      <c r="UTK51" s="45"/>
      <c r="UTL51" s="45"/>
      <c r="UTM51" s="45"/>
      <c r="UTN51" s="45"/>
      <c r="UTO51" s="45"/>
      <c r="UTP51" s="45"/>
      <c r="UTQ51" s="45"/>
      <c r="UTR51" s="45"/>
      <c r="UTS51" s="45"/>
      <c r="UTT51" s="45"/>
      <c r="UTU51" s="45"/>
      <c r="UTV51" s="45"/>
      <c r="UTW51" s="45"/>
      <c r="UTX51" s="45"/>
      <c r="UTY51" s="45"/>
      <c r="UTZ51" s="45"/>
      <c r="UUA51" s="45"/>
      <c r="UUB51" s="45"/>
      <c r="UUC51" s="45"/>
      <c r="UUD51" s="45"/>
      <c r="UUE51" s="45"/>
      <c r="UUF51" s="45"/>
      <c r="UUG51" s="45"/>
      <c r="UUH51" s="45"/>
      <c r="UUI51" s="45"/>
      <c r="UUJ51" s="45"/>
      <c r="UUK51" s="45"/>
      <c r="UUL51" s="45"/>
      <c r="UUM51" s="45"/>
      <c r="UUN51" s="45"/>
      <c r="UUO51" s="45"/>
      <c r="UUP51" s="45"/>
      <c r="UUQ51" s="45"/>
      <c r="UUR51" s="45"/>
      <c r="UUS51" s="45"/>
      <c r="UUT51" s="45"/>
      <c r="UUU51" s="45"/>
      <c r="UUV51" s="45"/>
      <c r="UUW51" s="45"/>
      <c r="UUX51" s="45"/>
      <c r="UUY51" s="45"/>
      <c r="UUZ51" s="45"/>
      <c r="UVA51" s="45"/>
      <c r="UVB51" s="45"/>
      <c r="UVC51" s="45"/>
      <c r="UVD51" s="45"/>
      <c r="UVE51" s="45"/>
      <c r="UVF51" s="45"/>
      <c r="UVG51" s="45"/>
      <c r="UVH51" s="45"/>
      <c r="UVI51" s="45"/>
      <c r="UVJ51" s="45"/>
      <c r="UVK51" s="45"/>
      <c r="UVL51" s="45"/>
      <c r="UVM51" s="45"/>
      <c r="UVN51" s="45"/>
      <c r="UVO51" s="45"/>
      <c r="UVP51" s="45"/>
      <c r="UVQ51" s="45"/>
      <c r="UVR51" s="45"/>
      <c r="UVS51" s="45"/>
      <c r="UVT51" s="45"/>
      <c r="UVU51" s="45"/>
      <c r="UVV51" s="45"/>
      <c r="UVW51" s="45"/>
      <c r="UVX51" s="45"/>
      <c r="UVY51" s="45"/>
      <c r="UVZ51" s="45"/>
      <c r="UWA51" s="45"/>
      <c r="UWB51" s="45"/>
      <c r="UWC51" s="45"/>
      <c r="UWD51" s="45"/>
      <c r="UWE51" s="45"/>
      <c r="UWF51" s="45"/>
      <c r="UWG51" s="45"/>
      <c r="UWH51" s="45"/>
      <c r="UWI51" s="45"/>
      <c r="UWJ51" s="45"/>
      <c r="UWK51" s="45"/>
      <c r="UWL51" s="45"/>
      <c r="UWM51" s="45"/>
      <c r="UWN51" s="45"/>
      <c r="UWO51" s="45"/>
      <c r="UWP51" s="45"/>
      <c r="UWQ51" s="45"/>
      <c r="UWR51" s="45"/>
      <c r="UWS51" s="45"/>
      <c r="UWT51" s="45"/>
      <c r="UWU51" s="45"/>
      <c r="UWV51" s="45"/>
      <c r="UWW51" s="45"/>
      <c r="UWX51" s="45"/>
      <c r="UWY51" s="45"/>
      <c r="UWZ51" s="45"/>
      <c r="UXA51" s="45"/>
      <c r="UXB51" s="45"/>
      <c r="UXC51" s="45"/>
      <c r="UXD51" s="45"/>
      <c r="UXE51" s="45"/>
      <c r="UXF51" s="45"/>
      <c r="UXG51" s="45"/>
      <c r="UXH51" s="45"/>
      <c r="UXI51" s="45"/>
      <c r="UXJ51" s="45"/>
      <c r="UXK51" s="45"/>
      <c r="UXL51" s="45"/>
      <c r="UXM51" s="45"/>
      <c r="UXN51" s="45"/>
      <c r="UXO51" s="45"/>
      <c r="UXP51" s="45"/>
      <c r="UXQ51" s="45"/>
      <c r="UXR51" s="45"/>
      <c r="UXS51" s="45"/>
      <c r="UXT51" s="45"/>
      <c r="UXU51" s="45"/>
      <c r="UXV51" s="45"/>
      <c r="UXW51" s="45"/>
      <c r="UXX51" s="45"/>
      <c r="UXY51" s="45"/>
      <c r="UXZ51" s="45"/>
      <c r="UYA51" s="45"/>
      <c r="UYB51" s="45"/>
      <c r="UYC51" s="45"/>
      <c r="UYD51" s="45"/>
      <c r="UYE51" s="45"/>
      <c r="UYF51" s="45"/>
      <c r="UYG51" s="45"/>
      <c r="UYH51" s="45"/>
      <c r="UYI51" s="45"/>
      <c r="UYJ51" s="45"/>
      <c r="UYK51" s="45"/>
      <c r="UYL51" s="45"/>
      <c r="UYM51" s="45"/>
      <c r="UYN51" s="45"/>
      <c r="UYO51" s="45"/>
      <c r="UYP51" s="45"/>
      <c r="UYQ51" s="45"/>
      <c r="UYR51" s="45"/>
      <c r="UYS51" s="45"/>
      <c r="UYT51" s="45"/>
      <c r="UYU51" s="45"/>
      <c r="UYV51" s="45"/>
      <c r="UYW51" s="45"/>
      <c r="UYX51" s="45"/>
      <c r="UYY51" s="45"/>
      <c r="UYZ51" s="45"/>
      <c r="UZA51" s="45"/>
      <c r="UZB51" s="45"/>
      <c r="UZC51" s="45"/>
      <c r="UZD51" s="45"/>
      <c r="UZE51" s="45"/>
      <c r="UZF51" s="45"/>
      <c r="UZG51" s="45"/>
      <c r="UZH51" s="45"/>
      <c r="UZI51" s="45"/>
      <c r="UZJ51" s="45"/>
      <c r="UZK51" s="45"/>
      <c r="UZL51" s="45"/>
      <c r="UZM51" s="45"/>
      <c r="UZN51" s="45"/>
      <c r="UZO51" s="45"/>
      <c r="UZP51" s="45"/>
      <c r="UZQ51" s="45"/>
      <c r="UZR51" s="45"/>
      <c r="UZS51" s="45"/>
      <c r="UZT51" s="45"/>
      <c r="UZU51" s="45"/>
      <c r="UZV51" s="45"/>
      <c r="UZW51" s="45"/>
      <c r="UZX51" s="45"/>
      <c r="UZY51" s="45"/>
      <c r="UZZ51" s="45"/>
      <c r="VAA51" s="45"/>
      <c r="VAB51" s="45"/>
      <c r="VAC51" s="45"/>
      <c r="VAD51" s="45"/>
      <c r="VAE51" s="45"/>
      <c r="VAF51" s="45"/>
      <c r="VAG51" s="45"/>
      <c r="VAH51" s="45"/>
      <c r="VAI51" s="45"/>
      <c r="VAJ51" s="45"/>
      <c r="VAK51" s="45"/>
      <c r="VAL51" s="45"/>
      <c r="VAM51" s="45"/>
      <c r="VAN51" s="45"/>
      <c r="VAO51" s="45"/>
      <c r="VAP51" s="45"/>
      <c r="VAQ51" s="45"/>
      <c r="VAR51" s="45"/>
      <c r="VAS51" s="45"/>
      <c r="VAT51" s="45"/>
      <c r="VAU51" s="45"/>
      <c r="VAV51" s="45"/>
      <c r="VAW51" s="45"/>
      <c r="VAX51" s="45"/>
      <c r="VAY51" s="45"/>
      <c r="VAZ51" s="45"/>
      <c r="VBA51" s="45"/>
      <c r="VBB51" s="45"/>
      <c r="VBC51" s="45"/>
      <c r="VBD51" s="45"/>
      <c r="VBE51" s="45"/>
      <c r="VBF51" s="45"/>
      <c r="VBG51" s="45"/>
      <c r="VBH51" s="45"/>
      <c r="VBI51" s="45"/>
      <c r="VBJ51" s="45"/>
      <c r="VBK51" s="45"/>
      <c r="VBL51" s="45"/>
      <c r="VBM51" s="45"/>
      <c r="VBN51" s="45"/>
      <c r="VBO51" s="45"/>
      <c r="VBP51" s="45"/>
      <c r="VBQ51" s="45"/>
      <c r="VBR51" s="45"/>
      <c r="VBS51" s="45"/>
      <c r="VBT51" s="45"/>
      <c r="VBU51" s="45"/>
      <c r="VBV51" s="45"/>
      <c r="VBW51" s="45"/>
      <c r="VBX51" s="45"/>
      <c r="VBY51" s="45"/>
      <c r="VBZ51" s="45"/>
      <c r="VCA51" s="45"/>
      <c r="VCB51" s="45"/>
      <c r="VCC51" s="45"/>
      <c r="VCD51" s="45"/>
      <c r="VCE51" s="45"/>
      <c r="VCF51" s="45"/>
      <c r="VCG51" s="45"/>
      <c r="VCH51" s="45"/>
      <c r="VCI51" s="45"/>
      <c r="VCJ51" s="45"/>
      <c r="VCK51" s="45"/>
      <c r="VCL51" s="45"/>
      <c r="VCM51" s="45"/>
      <c r="VCN51" s="45"/>
      <c r="VCO51" s="45"/>
      <c r="VCP51" s="45"/>
      <c r="VCQ51" s="45"/>
      <c r="VCR51" s="45"/>
      <c r="VCS51" s="45"/>
      <c r="VCT51" s="45"/>
      <c r="VCU51" s="45"/>
      <c r="VCV51" s="45"/>
      <c r="VCW51" s="45"/>
      <c r="VCX51" s="45"/>
      <c r="VCY51" s="45"/>
      <c r="VCZ51" s="45"/>
      <c r="VDA51" s="45"/>
      <c r="VDB51" s="45"/>
      <c r="VDC51" s="45"/>
      <c r="VDD51" s="45"/>
      <c r="VDE51" s="45"/>
      <c r="VDF51" s="45"/>
      <c r="VDG51" s="45"/>
      <c r="VDH51" s="45"/>
      <c r="VDI51" s="45"/>
      <c r="VDJ51" s="45"/>
      <c r="VDK51" s="45"/>
      <c r="VDL51" s="45"/>
      <c r="VDM51" s="45"/>
      <c r="VDN51" s="45"/>
      <c r="VDO51" s="45"/>
      <c r="VDP51" s="45"/>
      <c r="VDQ51" s="45"/>
      <c r="VDR51" s="45"/>
      <c r="VDS51" s="45"/>
      <c r="VDT51" s="45"/>
      <c r="VDU51" s="45"/>
      <c r="VDV51" s="45"/>
      <c r="VDW51" s="45"/>
      <c r="VDX51" s="45"/>
      <c r="VDY51" s="45"/>
      <c r="VDZ51" s="45"/>
      <c r="VEA51" s="45"/>
      <c r="VEB51" s="45"/>
      <c r="VEC51" s="45"/>
      <c r="VED51" s="45"/>
      <c r="VEE51" s="45"/>
      <c r="VEF51" s="45"/>
      <c r="VEG51" s="45"/>
      <c r="VEH51" s="45"/>
      <c r="VEI51" s="45"/>
      <c r="VEJ51" s="45"/>
      <c r="VEK51" s="45"/>
      <c r="VEL51" s="45"/>
      <c r="VEM51" s="45"/>
      <c r="VEN51" s="45"/>
      <c r="VEO51" s="45"/>
      <c r="VEP51" s="45"/>
      <c r="VEQ51" s="45"/>
      <c r="VER51" s="45"/>
      <c r="VES51" s="45"/>
      <c r="VET51" s="45"/>
      <c r="VEU51" s="45"/>
      <c r="VEV51" s="45"/>
      <c r="VEW51" s="45"/>
      <c r="VEX51" s="45"/>
      <c r="VEY51" s="45"/>
      <c r="VEZ51" s="45"/>
      <c r="VFA51" s="45"/>
      <c r="VFB51" s="45"/>
      <c r="VFC51" s="45"/>
      <c r="VFD51" s="45"/>
      <c r="VFE51" s="45"/>
      <c r="VFF51" s="45"/>
      <c r="VFG51" s="45"/>
      <c r="VFH51" s="45"/>
      <c r="VFI51" s="45"/>
      <c r="VFJ51" s="45"/>
      <c r="VFK51" s="45"/>
      <c r="VFL51" s="45"/>
      <c r="VFM51" s="45"/>
      <c r="VFN51" s="45"/>
      <c r="VFO51" s="45"/>
      <c r="VFP51" s="45"/>
      <c r="VFQ51" s="45"/>
      <c r="VFR51" s="45"/>
      <c r="VFS51" s="45"/>
      <c r="VFT51" s="45"/>
      <c r="VFU51" s="45"/>
      <c r="VFV51" s="45"/>
      <c r="VFW51" s="45"/>
      <c r="VFX51" s="45"/>
      <c r="VFY51" s="45"/>
      <c r="VFZ51" s="45"/>
      <c r="VGA51" s="45"/>
      <c r="VGB51" s="45"/>
      <c r="VGC51" s="45"/>
      <c r="VGD51" s="45"/>
      <c r="VGE51" s="45"/>
      <c r="VGF51" s="45"/>
      <c r="VGG51" s="45"/>
      <c r="VGH51" s="45"/>
      <c r="VGI51" s="45"/>
      <c r="VGJ51" s="45"/>
      <c r="VGK51" s="45"/>
      <c r="VGL51" s="45"/>
      <c r="VGM51" s="45"/>
      <c r="VGN51" s="45"/>
      <c r="VGO51" s="45"/>
      <c r="VGP51" s="45"/>
      <c r="VGQ51" s="45"/>
      <c r="VGR51" s="45"/>
      <c r="VGS51" s="45"/>
      <c r="VGT51" s="45"/>
      <c r="VGU51" s="45"/>
      <c r="VGV51" s="45"/>
      <c r="VGW51" s="45"/>
      <c r="VGX51" s="45"/>
      <c r="VGY51" s="45"/>
      <c r="VGZ51" s="45"/>
      <c r="VHA51" s="45"/>
      <c r="VHB51" s="45"/>
      <c r="VHC51" s="45"/>
      <c r="VHD51" s="45"/>
      <c r="VHE51" s="45"/>
      <c r="VHF51" s="45"/>
      <c r="VHG51" s="45"/>
      <c r="VHH51" s="45"/>
      <c r="VHI51" s="45"/>
      <c r="VHJ51" s="45"/>
      <c r="VHK51" s="45"/>
      <c r="VHL51" s="45"/>
      <c r="VHM51" s="45"/>
      <c r="VHN51" s="45"/>
      <c r="VHO51" s="45"/>
      <c r="VHP51" s="45"/>
      <c r="VHQ51" s="45"/>
      <c r="VHR51" s="45"/>
      <c r="VHS51" s="45"/>
      <c r="VHT51" s="45"/>
      <c r="VHU51" s="45"/>
      <c r="VHV51" s="45"/>
      <c r="VHW51" s="45"/>
      <c r="VHX51" s="45"/>
      <c r="VHY51" s="45"/>
      <c r="VHZ51" s="45"/>
      <c r="VIA51" s="45"/>
      <c r="VIB51" s="45"/>
      <c r="VIC51" s="45"/>
      <c r="VID51" s="45"/>
      <c r="VIE51" s="45"/>
      <c r="VIF51" s="45"/>
      <c r="VIG51" s="45"/>
      <c r="VIH51" s="45"/>
      <c r="VII51" s="45"/>
      <c r="VIJ51" s="45"/>
      <c r="VIK51" s="45"/>
      <c r="VIL51" s="45"/>
      <c r="VIM51" s="45"/>
      <c r="VIN51" s="45"/>
      <c r="VIO51" s="45"/>
      <c r="VIP51" s="45"/>
      <c r="VIQ51" s="45"/>
      <c r="VIR51" s="45"/>
      <c r="VIS51" s="45"/>
      <c r="VIT51" s="45"/>
      <c r="VIU51" s="45"/>
      <c r="VIV51" s="45"/>
      <c r="VIW51" s="45"/>
      <c r="VIX51" s="45"/>
      <c r="VIY51" s="45"/>
      <c r="VIZ51" s="45"/>
      <c r="VJA51" s="45"/>
      <c r="VJB51" s="45"/>
      <c r="VJC51" s="45"/>
      <c r="VJD51" s="45"/>
      <c r="VJE51" s="45"/>
      <c r="VJF51" s="45"/>
      <c r="VJG51" s="45"/>
      <c r="VJH51" s="45"/>
      <c r="VJI51" s="45"/>
      <c r="VJJ51" s="45"/>
      <c r="VJK51" s="45"/>
      <c r="VJL51" s="45"/>
      <c r="VJM51" s="45"/>
      <c r="VJN51" s="45"/>
      <c r="VJO51" s="45"/>
      <c r="VJP51" s="45"/>
      <c r="VJQ51" s="45"/>
      <c r="VJR51" s="45"/>
      <c r="VJS51" s="45"/>
      <c r="VJT51" s="45"/>
      <c r="VJU51" s="45"/>
      <c r="VJV51" s="45"/>
      <c r="VJW51" s="45"/>
      <c r="VJX51" s="45"/>
      <c r="VJY51" s="45"/>
      <c r="VJZ51" s="45"/>
      <c r="VKA51" s="45"/>
      <c r="VKB51" s="45"/>
      <c r="VKC51" s="45"/>
      <c r="VKD51" s="45"/>
      <c r="VKE51" s="45"/>
      <c r="VKF51" s="45"/>
      <c r="VKG51" s="45"/>
      <c r="VKH51" s="45"/>
      <c r="VKI51" s="45"/>
      <c r="VKJ51" s="45"/>
      <c r="VKK51" s="45"/>
      <c r="VKL51" s="45"/>
      <c r="VKM51" s="45"/>
      <c r="VKN51" s="45"/>
      <c r="VKO51" s="45"/>
      <c r="VKP51" s="45"/>
      <c r="VKQ51" s="45"/>
      <c r="VKR51" s="45"/>
      <c r="VKS51" s="45"/>
      <c r="VKT51" s="45"/>
      <c r="VKU51" s="45"/>
      <c r="VKV51" s="45"/>
      <c r="VKW51" s="45"/>
      <c r="VKX51" s="45"/>
      <c r="VKY51" s="45"/>
      <c r="VKZ51" s="45"/>
      <c r="VLA51" s="45"/>
      <c r="VLB51" s="45"/>
      <c r="VLC51" s="45"/>
      <c r="VLD51" s="45"/>
      <c r="VLE51" s="45"/>
      <c r="VLF51" s="45"/>
      <c r="VLG51" s="45"/>
      <c r="VLH51" s="45"/>
      <c r="VLI51" s="45"/>
      <c r="VLJ51" s="45"/>
      <c r="VLK51" s="45"/>
      <c r="VLL51" s="45"/>
      <c r="VLM51" s="45"/>
      <c r="VLN51" s="45"/>
      <c r="VLO51" s="45"/>
      <c r="VLP51" s="45"/>
      <c r="VLQ51" s="45"/>
      <c r="VLR51" s="45"/>
      <c r="VLS51" s="45"/>
      <c r="VLT51" s="45"/>
      <c r="VLU51" s="45"/>
      <c r="VLV51" s="45"/>
      <c r="VLW51" s="45"/>
      <c r="VLX51" s="45"/>
      <c r="VLY51" s="45"/>
      <c r="VLZ51" s="45"/>
      <c r="VMA51" s="45"/>
      <c r="VMB51" s="45"/>
      <c r="VMC51" s="45"/>
      <c r="VMD51" s="45"/>
      <c r="VME51" s="45"/>
      <c r="VMF51" s="45"/>
      <c r="VMG51" s="45"/>
      <c r="VMH51" s="45"/>
      <c r="VMI51" s="45"/>
      <c r="VMJ51" s="45"/>
      <c r="VMK51" s="45"/>
      <c r="VML51" s="45"/>
      <c r="VMM51" s="45"/>
      <c r="VMN51" s="45"/>
      <c r="VMO51" s="45"/>
      <c r="VMP51" s="45"/>
      <c r="VMQ51" s="45"/>
      <c r="VMR51" s="45"/>
      <c r="VMS51" s="45"/>
      <c r="VMT51" s="45"/>
      <c r="VMU51" s="45"/>
      <c r="VMV51" s="45"/>
      <c r="VMW51" s="45"/>
      <c r="VMX51" s="45"/>
      <c r="VMY51" s="45"/>
      <c r="VMZ51" s="45"/>
      <c r="VNA51" s="45"/>
      <c r="VNB51" s="45"/>
      <c r="VNC51" s="45"/>
      <c r="VND51" s="45"/>
      <c r="VNE51" s="45"/>
      <c r="VNF51" s="45"/>
      <c r="VNG51" s="45"/>
      <c r="VNH51" s="45"/>
      <c r="VNI51" s="45"/>
      <c r="VNJ51" s="45"/>
      <c r="VNK51" s="45"/>
      <c r="VNL51" s="45"/>
      <c r="VNM51" s="45"/>
      <c r="VNN51" s="45"/>
      <c r="VNO51" s="45"/>
      <c r="VNP51" s="45"/>
      <c r="VNQ51" s="45"/>
      <c r="VNR51" s="45"/>
      <c r="VNS51" s="45"/>
      <c r="VNT51" s="45"/>
      <c r="VNU51" s="45"/>
      <c r="VNV51" s="45"/>
      <c r="VNW51" s="45"/>
      <c r="VNX51" s="45"/>
      <c r="VNY51" s="45"/>
      <c r="VNZ51" s="45"/>
      <c r="VOA51" s="45"/>
      <c r="VOB51" s="45"/>
      <c r="VOC51" s="45"/>
      <c r="VOD51" s="45"/>
      <c r="VOE51" s="45"/>
      <c r="VOF51" s="45"/>
      <c r="VOG51" s="45"/>
      <c r="VOH51" s="45"/>
      <c r="VOI51" s="45"/>
      <c r="VOJ51" s="45"/>
      <c r="VOK51" s="45"/>
      <c r="VOL51" s="45"/>
      <c r="VOM51" s="45"/>
      <c r="VON51" s="45"/>
      <c r="VOO51" s="45"/>
      <c r="VOP51" s="45"/>
      <c r="VOQ51" s="45"/>
      <c r="VOR51" s="45"/>
      <c r="VOS51" s="45"/>
      <c r="VOT51" s="45"/>
      <c r="VOU51" s="45"/>
      <c r="VOV51" s="45"/>
      <c r="VOW51" s="45"/>
      <c r="VOX51" s="45"/>
      <c r="VOY51" s="45"/>
      <c r="VOZ51" s="45"/>
      <c r="VPA51" s="45"/>
      <c r="VPB51" s="45"/>
      <c r="VPC51" s="45"/>
      <c r="VPD51" s="45"/>
      <c r="VPE51" s="45"/>
      <c r="VPF51" s="45"/>
      <c r="VPG51" s="45"/>
      <c r="VPH51" s="45"/>
      <c r="VPI51" s="45"/>
      <c r="VPJ51" s="45"/>
      <c r="VPK51" s="45"/>
      <c r="VPL51" s="45"/>
      <c r="VPM51" s="45"/>
      <c r="VPN51" s="45"/>
      <c r="VPO51" s="45"/>
      <c r="VPP51" s="45"/>
      <c r="VPQ51" s="45"/>
      <c r="VPR51" s="45"/>
      <c r="VPS51" s="45"/>
      <c r="VPT51" s="45"/>
      <c r="VPU51" s="45"/>
      <c r="VPV51" s="45"/>
      <c r="VPW51" s="45"/>
      <c r="VPX51" s="45"/>
      <c r="VPY51" s="45"/>
      <c r="VPZ51" s="45"/>
      <c r="VQA51" s="45"/>
      <c r="VQB51" s="45"/>
      <c r="VQC51" s="45"/>
      <c r="VQD51" s="45"/>
      <c r="VQE51" s="45"/>
      <c r="VQF51" s="45"/>
      <c r="VQG51" s="45"/>
      <c r="VQH51" s="45"/>
      <c r="VQI51" s="45"/>
      <c r="VQJ51" s="45"/>
      <c r="VQK51" s="45"/>
      <c r="VQL51" s="45"/>
      <c r="VQM51" s="45"/>
      <c r="VQN51" s="45"/>
      <c r="VQO51" s="45"/>
      <c r="VQP51" s="45"/>
      <c r="VQQ51" s="45"/>
      <c r="VQR51" s="45"/>
      <c r="VQS51" s="45"/>
      <c r="VQT51" s="45"/>
      <c r="VQU51" s="45"/>
      <c r="VQV51" s="45"/>
      <c r="VQW51" s="45"/>
      <c r="VQX51" s="45"/>
      <c r="VQY51" s="45"/>
      <c r="VQZ51" s="45"/>
      <c r="VRA51" s="45"/>
      <c r="VRB51" s="45"/>
      <c r="VRC51" s="45"/>
      <c r="VRD51" s="45"/>
      <c r="VRE51" s="45"/>
      <c r="VRF51" s="45"/>
      <c r="VRG51" s="45"/>
      <c r="VRH51" s="45"/>
      <c r="VRI51" s="45"/>
      <c r="VRJ51" s="45"/>
      <c r="VRK51" s="45"/>
      <c r="VRL51" s="45"/>
      <c r="VRM51" s="45"/>
      <c r="VRN51" s="45"/>
      <c r="VRO51" s="45"/>
      <c r="VRP51" s="45"/>
      <c r="VRQ51" s="45"/>
      <c r="VRR51" s="45"/>
      <c r="VRS51" s="45"/>
      <c r="VRT51" s="45"/>
      <c r="VRU51" s="45"/>
      <c r="VRV51" s="45"/>
      <c r="VRW51" s="45"/>
      <c r="VRX51" s="45"/>
      <c r="VRY51" s="45"/>
      <c r="VRZ51" s="45"/>
      <c r="VSA51" s="45"/>
      <c r="VSB51" s="45"/>
      <c r="VSC51" s="45"/>
      <c r="VSD51" s="45"/>
      <c r="VSE51" s="45"/>
      <c r="VSF51" s="45"/>
      <c r="VSG51" s="45"/>
      <c r="VSH51" s="45"/>
      <c r="VSI51" s="45"/>
      <c r="VSJ51" s="45"/>
      <c r="VSK51" s="45"/>
      <c r="VSL51" s="45"/>
      <c r="VSM51" s="45"/>
      <c r="VSN51" s="45"/>
      <c r="VSO51" s="45"/>
      <c r="VSP51" s="45"/>
      <c r="VSQ51" s="45"/>
      <c r="VSR51" s="45"/>
      <c r="VSS51" s="45"/>
      <c r="VST51" s="45"/>
      <c r="VSU51" s="45"/>
      <c r="VSV51" s="45"/>
      <c r="VSW51" s="45"/>
      <c r="VSX51" s="45"/>
      <c r="VSY51" s="45"/>
      <c r="VSZ51" s="45"/>
      <c r="VTA51" s="45"/>
      <c r="VTB51" s="45"/>
      <c r="VTC51" s="45"/>
      <c r="VTD51" s="45"/>
      <c r="VTE51" s="45"/>
      <c r="VTF51" s="45"/>
      <c r="VTG51" s="45"/>
      <c r="VTH51" s="45"/>
      <c r="VTI51" s="45"/>
      <c r="VTJ51" s="45"/>
      <c r="VTK51" s="45"/>
      <c r="VTL51" s="45"/>
      <c r="VTM51" s="45"/>
      <c r="VTN51" s="45"/>
      <c r="VTO51" s="45"/>
      <c r="VTP51" s="45"/>
      <c r="VTQ51" s="45"/>
      <c r="VTR51" s="45"/>
      <c r="VTS51" s="45"/>
      <c r="VTT51" s="45"/>
      <c r="VTU51" s="45"/>
      <c r="VTV51" s="45"/>
      <c r="VTW51" s="45"/>
      <c r="VTX51" s="45"/>
      <c r="VTY51" s="45"/>
      <c r="VTZ51" s="45"/>
      <c r="VUA51" s="45"/>
      <c r="VUB51" s="45"/>
      <c r="VUC51" s="45"/>
      <c r="VUD51" s="45"/>
      <c r="VUE51" s="45"/>
      <c r="VUF51" s="45"/>
      <c r="VUG51" s="45"/>
      <c r="VUH51" s="45"/>
      <c r="VUI51" s="45"/>
      <c r="VUJ51" s="45"/>
      <c r="VUK51" s="45"/>
      <c r="VUL51" s="45"/>
      <c r="VUM51" s="45"/>
      <c r="VUN51" s="45"/>
      <c r="VUO51" s="45"/>
      <c r="VUP51" s="45"/>
      <c r="VUQ51" s="45"/>
      <c r="VUR51" s="45"/>
      <c r="VUS51" s="45"/>
      <c r="VUT51" s="45"/>
      <c r="VUU51" s="45"/>
      <c r="VUV51" s="45"/>
      <c r="VUW51" s="45"/>
      <c r="VUX51" s="45"/>
      <c r="VUY51" s="45"/>
      <c r="VUZ51" s="45"/>
      <c r="VVA51" s="45"/>
      <c r="VVB51" s="45"/>
      <c r="VVC51" s="45"/>
      <c r="VVD51" s="45"/>
      <c r="VVE51" s="45"/>
      <c r="VVF51" s="45"/>
      <c r="VVG51" s="45"/>
      <c r="VVH51" s="45"/>
      <c r="VVI51" s="45"/>
      <c r="VVJ51" s="45"/>
      <c r="VVK51" s="45"/>
      <c r="VVL51" s="45"/>
      <c r="VVM51" s="45"/>
      <c r="VVN51" s="45"/>
      <c r="VVO51" s="45"/>
      <c r="VVP51" s="45"/>
      <c r="VVQ51" s="45"/>
      <c r="VVR51" s="45"/>
      <c r="VVS51" s="45"/>
      <c r="VVT51" s="45"/>
      <c r="VVU51" s="45"/>
      <c r="VVV51" s="45"/>
      <c r="VVW51" s="45"/>
      <c r="VVX51" s="45"/>
      <c r="VVY51" s="45"/>
      <c r="VVZ51" s="45"/>
      <c r="VWA51" s="45"/>
      <c r="VWB51" s="45"/>
      <c r="VWC51" s="45"/>
      <c r="VWD51" s="45"/>
      <c r="VWE51" s="45"/>
      <c r="VWF51" s="45"/>
      <c r="VWG51" s="45"/>
      <c r="VWH51" s="45"/>
      <c r="VWI51" s="45"/>
      <c r="VWJ51" s="45"/>
      <c r="VWK51" s="45"/>
      <c r="VWL51" s="45"/>
      <c r="VWM51" s="45"/>
      <c r="VWN51" s="45"/>
      <c r="VWO51" s="45"/>
      <c r="VWP51" s="45"/>
      <c r="VWQ51" s="45"/>
      <c r="VWR51" s="45"/>
      <c r="VWS51" s="45"/>
      <c r="VWT51" s="45"/>
      <c r="VWU51" s="45"/>
      <c r="VWV51" s="45"/>
      <c r="VWW51" s="45"/>
      <c r="VWX51" s="45"/>
      <c r="VWY51" s="45"/>
      <c r="VWZ51" s="45"/>
      <c r="VXA51" s="45"/>
      <c r="VXB51" s="45"/>
      <c r="VXC51" s="45"/>
      <c r="VXD51" s="45"/>
      <c r="VXE51" s="45"/>
      <c r="VXF51" s="45"/>
      <c r="VXG51" s="45"/>
      <c r="VXH51" s="45"/>
      <c r="VXI51" s="45"/>
      <c r="VXJ51" s="45"/>
      <c r="VXK51" s="45"/>
      <c r="VXL51" s="45"/>
      <c r="VXM51" s="45"/>
      <c r="VXN51" s="45"/>
      <c r="VXO51" s="45"/>
      <c r="VXP51" s="45"/>
      <c r="VXQ51" s="45"/>
      <c r="VXR51" s="45"/>
      <c r="VXS51" s="45"/>
      <c r="VXT51" s="45"/>
      <c r="VXU51" s="45"/>
      <c r="VXV51" s="45"/>
      <c r="VXW51" s="45"/>
      <c r="VXX51" s="45"/>
      <c r="VXY51" s="45"/>
      <c r="VXZ51" s="45"/>
      <c r="VYA51" s="45"/>
      <c r="VYB51" s="45"/>
      <c r="VYC51" s="45"/>
      <c r="VYD51" s="45"/>
      <c r="VYE51" s="45"/>
      <c r="VYF51" s="45"/>
      <c r="VYG51" s="45"/>
      <c r="VYH51" s="45"/>
      <c r="VYI51" s="45"/>
      <c r="VYJ51" s="45"/>
      <c r="VYK51" s="45"/>
      <c r="VYL51" s="45"/>
      <c r="VYM51" s="45"/>
      <c r="VYN51" s="45"/>
      <c r="VYO51" s="45"/>
      <c r="VYP51" s="45"/>
      <c r="VYQ51" s="45"/>
      <c r="VYR51" s="45"/>
      <c r="VYS51" s="45"/>
      <c r="VYT51" s="45"/>
      <c r="VYU51" s="45"/>
      <c r="VYV51" s="45"/>
      <c r="VYW51" s="45"/>
      <c r="VYX51" s="45"/>
      <c r="VYY51" s="45"/>
      <c r="VYZ51" s="45"/>
      <c r="VZA51" s="45"/>
      <c r="VZB51" s="45"/>
      <c r="VZC51" s="45"/>
      <c r="VZD51" s="45"/>
      <c r="VZE51" s="45"/>
      <c r="VZF51" s="45"/>
      <c r="VZG51" s="45"/>
      <c r="VZH51" s="45"/>
      <c r="VZI51" s="45"/>
      <c r="VZJ51" s="45"/>
      <c r="VZK51" s="45"/>
      <c r="VZL51" s="45"/>
      <c r="VZM51" s="45"/>
      <c r="VZN51" s="45"/>
      <c r="VZO51" s="45"/>
      <c r="VZP51" s="45"/>
      <c r="VZQ51" s="45"/>
      <c r="VZR51" s="45"/>
      <c r="VZS51" s="45"/>
      <c r="VZT51" s="45"/>
      <c r="VZU51" s="45"/>
      <c r="VZV51" s="45"/>
      <c r="VZW51" s="45"/>
      <c r="VZX51" s="45"/>
      <c r="VZY51" s="45"/>
      <c r="VZZ51" s="45"/>
      <c r="WAA51" s="45"/>
      <c r="WAB51" s="45"/>
      <c r="WAC51" s="45"/>
      <c r="WAD51" s="45"/>
      <c r="WAE51" s="45"/>
      <c r="WAF51" s="45"/>
      <c r="WAG51" s="45"/>
      <c r="WAH51" s="45"/>
      <c r="WAI51" s="45"/>
      <c r="WAJ51" s="45"/>
      <c r="WAK51" s="45"/>
      <c r="WAL51" s="45"/>
      <c r="WAM51" s="45"/>
      <c r="WAN51" s="45"/>
      <c r="WAO51" s="45"/>
      <c r="WAP51" s="45"/>
      <c r="WAQ51" s="45"/>
      <c r="WAR51" s="45"/>
      <c r="WAS51" s="45"/>
      <c r="WAT51" s="45"/>
      <c r="WAU51" s="45"/>
      <c r="WAV51" s="45"/>
      <c r="WAW51" s="45"/>
      <c r="WAX51" s="45"/>
      <c r="WAY51" s="45"/>
      <c r="WAZ51" s="45"/>
      <c r="WBA51" s="45"/>
      <c r="WBB51" s="45"/>
      <c r="WBC51" s="45"/>
      <c r="WBD51" s="45"/>
      <c r="WBE51" s="45"/>
      <c r="WBF51" s="45"/>
      <c r="WBG51" s="45"/>
      <c r="WBH51" s="45"/>
      <c r="WBI51" s="45"/>
      <c r="WBJ51" s="45"/>
      <c r="WBK51" s="45"/>
      <c r="WBL51" s="45"/>
      <c r="WBM51" s="45"/>
      <c r="WBN51" s="45"/>
      <c r="WBO51" s="45"/>
      <c r="WBP51" s="45"/>
      <c r="WBQ51" s="45"/>
      <c r="WBR51" s="45"/>
      <c r="WBS51" s="45"/>
      <c r="WBT51" s="45"/>
      <c r="WBU51" s="45"/>
      <c r="WBV51" s="45"/>
      <c r="WBW51" s="45"/>
      <c r="WBX51" s="45"/>
      <c r="WBY51" s="45"/>
      <c r="WBZ51" s="45"/>
      <c r="WCA51" s="45"/>
      <c r="WCB51" s="45"/>
      <c r="WCC51" s="45"/>
      <c r="WCD51" s="45"/>
      <c r="WCE51" s="45"/>
      <c r="WCF51" s="45"/>
      <c r="WCG51" s="45"/>
      <c r="WCH51" s="45"/>
      <c r="WCI51" s="45"/>
      <c r="WCJ51" s="45"/>
      <c r="WCK51" s="45"/>
      <c r="WCL51" s="45"/>
      <c r="WCM51" s="45"/>
      <c r="WCN51" s="45"/>
      <c r="WCO51" s="45"/>
      <c r="WCP51" s="45"/>
      <c r="WCQ51" s="45"/>
      <c r="WCR51" s="45"/>
      <c r="WCS51" s="45"/>
      <c r="WCT51" s="45"/>
      <c r="WCU51" s="45"/>
      <c r="WCV51" s="45"/>
      <c r="WCW51" s="45"/>
      <c r="WCX51" s="45"/>
      <c r="WCY51" s="45"/>
      <c r="WCZ51" s="45"/>
      <c r="WDA51" s="45"/>
      <c r="WDB51" s="45"/>
      <c r="WDC51" s="45"/>
      <c r="WDD51" s="45"/>
      <c r="WDE51" s="45"/>
      <c r="WDF51" s="45"/>
      <c r="WDG51" s="45"/>
      <c r="WDH51" s="45"/>
      <c r="WDI51" s="45"/>
      <c r="WDJ51" s="45"/>
      <c r="WDK51" s="45"/>
      <c r="WDL51" s="45"/>
      <c r="WDM51" s="45"/>
      <c r="WDN51" s="45"/>
      <c r="WDO51" s="45"/>
      <c r="WDP51" s="45"/>
      <c r="WDQ51" s="45"/>
      <c r="WDR51" s="45"/>
      <c r="WDS51" s="45"/>
      <c r="WDT51" s="45"/>
      <c r="WDU51" s="45"/>
      <c r="WDV51" s="45"/>
      <c r="WDW51" s="45"/>
      <c r="WDX51" s="45"/>
      <c r="WDY51" s="45"/>
      <c r="WDZ51" s="45"/>
      <c r="WEA51" s="45"/>
      <c r="WEB51" s="45"/>
      <c r="WEC51" s="45"/>
      <c r="WED51" s="45"/>
      <c r="WEE51" s="45"/>
      <c r="WEF51" s="45"/>
      <c r="WEG51" s="45"/>
      <c r="WEH51" s="45"/>
      <c r="WEI51" s="45"/>
      <c r="WEJ51" s="45"/>
      <c r="WEK51" s="45"/>
      <c r="WEL51" s="45"/>
      <c r="WEM51" s="45"/>
      <c r="WEN51" s="45"/>
      <c r="WEO51" s="45"/>
      <c r="WEP51" s="45"/>
      <c r="WEQ51" s="45"/>
      <c r="WER51" s="45"/>
      <c r="WES51" s="45"/>
      <c r="WET51" s="45"/>
      <c r="WEU51" s="45"/>
      <c r="WEV51" s="45"/>
      <c r="WEW51" s="45"/>
      <c r="WEX51" s="45"/>
      <c r="WEY51" s="45"/>
      <c r="WEZ51" s="45"/>
      <c r="WFA51" s="45"/>
      <c r="WFB51" s="45"/>
      <c r="WFC51" s="45"/>
      <c r="WFD51" s="45"/>
      <c r="WFE51" s="45"/>
      <c r="WFF51" s="45"/>
      <c r="WFG51" s="45"/>
      <c r="WFH51" s="45"/>
      <c r="WFI51" s="45"/>
      <c r="WFJ51" s="45"/>
      <c r="WFK51" s="45"/>
      <c r="WFL51" s="45"/>
      <c r="WFM51" s="45"/>
      <c r="WFN51" s="45"/>
      <c r="WFO51" s="45"/>
      <c r="WFP51" s="45"/>
      <c r="WFQ51" s="45"/>
      <c r="WFR51" s="45"/>
      <c r="WFS51" s="45"/>
      <c r="WFT51" s="45"/>
      <c r="WFU51" s="45"/>
      <c r="WFV51" s="45"/>
      <c r="WFW51" s="45"/>
      <c r="WFX51" s="45"/>
      <c r="WFY51" s="45"/>
      <c r="WFZ51" s="45"/>
      <c r="WGA51" s="45"/>
      <c r="WGB51" s="45"/>
      <c r="WGC51" s="45"/>
      <c r="WGD51" s="45"/>
      <c r="WGE51" s="45"/>
      <c r="WGF51" s="45"/>
      <c r="WGG51" s="45"/>
      <c r="WGH51" s="45"/>
      <c r="WGI51" s="45"/>
      <c r="WGJ51" s="45"/>
      <c r="WGK51" s="45"/>
      <c r="WGL51" s="45"/>
      <c r="WGM51" s="45"/>
      <c r="WGN51" s="45"/>
      <c r="WGO51" s="45"/>
      <c r="WGP51" s="45"/>
      <c r="WGQ51" s="45"/>
      <c r="WGR51" s="45"/>
      <c r="WGS51" s="45"/>
      <c r="WGT51" s="45"/>
      <c r="WGU51" s="45"/>
      <c r="WGV51" s="45"/>
      <c r="WGW51" s="45"/>
      <c r="WGX51" s="45"/>
      <c r="WGY51" s="45"/>
      <c r="WGZ51" s="45"/>
      <c r="WHA51" s="45"/>
      <c r="WHB51" s="45"/>
      <c r="WHC51" s="45"/>
      <c r="WHD51" s="45"/>
      <c r="WHE51" s="45"/>
      <c r="WHF51" s="45"/>
      <c r="WHG51" s="45"/>
      <c r="WHH51" s="45"/>
      <c r="WHI51" s="45"/>
      <c r="WHJ51" s="45"/>
      <c r="WHK51" s="45"/>
      <c r="WHL51" s="45"/>
      <c r="WHM51" s="45"/>
      <c r="WHN51" s="45"/>
      <c r="WHO51" s="45"/>
      <c r="WHP51" s="45"/>
      <c r="WHQ51" s="45"/>
      <c r="WHR51" s="45"/>
      <c r="WHS51" s="45"/>
      <c r="WHT51" s="45"/>
      <c r="WHU51" s="45"/>
      <c r="WHV51" s="45"/>
      <c r="WHW51" s="45"/>
      <c r="WHX51" s="45"/>
      <c r="WHY51" s="45"/>
      <c r="WHZ51" s="45"/>
      <c r="WIA51" s="45"/>
      <c r="WIB51" s="45"/>
      <c r="WIC51" s="45"/>
      <c r="WID51" s="45"/>
      <c r="WIE51" s="45"/>
      <c r="WIF51" s="45"/>
      <c r="WIG51" s="45"/>
      <c r="WIH51" s="45"/>
      <c r="WII51" s="45"/>
      <c r="WIJ51" s="45"/>
      <c r="WIK51" s="45"/>
      <c r="WIL51" s="45"/>
      <c r="WIM51" s="45"/>
      <c r="WIN51" s="45"/>
      <c r="WIO51" s="45"/>
      <c r="WIP51" s="45"/>
      <c r="WIQ51" s="45"/>
      <c r="WIR51" s="45"/>
      <c r="WIS51" s="45"/>
      <c r="WIT51" s="45"/>
      <c r="WIU51" s="45"/>
      <c r="WIV51" s="45"/>
      <c r="WIW51" s="45"/>
      <c r="WIX51" s="45"/>
      <c r="WIY51" s="45"/>
      <c r="WIZ51" s="45"/>
      <c r="WJA51" s="45"/>
      <c r="WJB51" s="45"/>
      <c r="WJC51" s="45"/>
      <c r="WJD51" s="45"/>
      <c r="WJE51" s="45"/>
      <c r="WJF51" s="45"/>
      <c r="WJG51" s="45"/>
      <c r="WJH51" s="45"/>
      <c r="WJI51" s="45"/>
      <c r="WJJ51" s="45"/>
      <c r="WJK51" s="45"/>
      <c r="WJL51" s="45"/>
      <c r="WJM51" s="45"/>
      <c r="WJN51" s="45"/>
      <c r="WJO51" s="45"/>
      <c r="WJP51" s="45"/>
      <c r="WJQ51" s="45"/>
      <c r="WJR51" s="45"/>
      <c r="WJS51" s="45"/>
      <c r="WJT51" s="45"/>
      <c r="WJU51" s="45"/>
      <c r="WJV51" s="45"/>
      <c r="WJW51" s="45"/>
      <c r="WJX51" s="45"/>
      <c r="WJY51" s="45"/>
      <c r="WJZ51" s="45"/>
      <c r="WKA51" s="45"/>
      <c r="WKB51" s="45"/>
      <c r="WKC51" s="45"/>
      <c r="WKD51" s="45"/>
      <c r="WKE51" s="45"/>
      <c r="WKF51" s="45"/>
      <c r="WKG51" s="45"/>
      <c r="WKH51" s="45"/>
      <c r="WKI51" s="45"/>
      <c r="WKJ51" s="45"/>
      <c r="WKK51" s="45"/>
      <c r="WKL51" s="45"/>
      <c r="WKM51" s="45"/>
      <c r="WKN51" s="45"/>
      <c r="WKO51" s="45"/>
      <c r="WKP51" s="45"/>
      <c r="WKQ51" s="45"/>
      <c r="WKR51" s="45"/>
      <c r="WKS51" s="45"/>
      <c r="WKT51" s="45"/>
      <c r="WKU51" s="45"/>
      <c r="WKV51" s="45"/>
      <c r="WKW51" s="45"/>
      <c r="WKX51" s="45"/>
      <c r="WKY51" s="45"/>
      <c r="WKZ51" s="45"/>
      <c r="WLA51" s="45"/>
      <c r="WLB51" s="45"/>
      <c r="WLC51" s="45"/>
      <c r="WLD51" s="45"/>
      <c r="WLE51" s="45"/>
      <c r="WLF51" s="45"/>
      <c r="WLG51" s="45"/>
      <c r="WLH51" s="45"/>
      <c r="WLI51" s="45"/>
      <c r="WLJ51" s="45"/>
      <c r="WLK51" s="45"/>
      <c r="WLL51" s="45"/>
      <c r="WLM51" s="45"/>
      <c r="WLN51" s="45"/>
      <c r="WLO51" s="45"/>
      <c r="WLP51" s="45"/>
      <c r="WLQ51" s="45"/>
      <c r="WLR51" s="45"/>
      <c r="WLS51" s="45"/>
      <c r="WLT51" s="45"/>
      <c r="WLU51" s="45"/>
      <c r="WLV51" s="45"/>
      <c r="WLW51" s="45"/>
      <c r="WLX51" s="45"/>
      <c r="WLY51" s="45"/>
      <c r="WLZ51" s="45"/>
      <c r="WMA51" s="45"/>
      <c r="WMB51" s="45"/>
      <c r="WMC51" s="45"/>
      <c r="WMD51" s="45"/>
      <c r="WME51" s="45"/>
      <c r="WMF51" s="45"/>
      <c r="WMG51" s="45"/>
      <c r="WMH51" s="45"/>
      <c r="WMI51" s="45"/>
      <c r="WMJ51" s="45"/>
      <c r="WMK51" s="45"/>
      <c r="WML51" s="45"/>
      <c r="WMM51" s="45"/>
      <c r="WMN51" s="45"/>
      <c r="WMO51" s="45"/>
      <c r="WMP51" s="45"/>
      <c r="WMQ51" s="45"/>
      <c r="WMR51" s="45"/>
      <c r="WMS51" s="45"/>
      <c r="WMT51" s="45"/>
      <c r="WMU51" s="45"/>
      <c r="WMV51" s="45"/>
      <c r="WMW51" s="45"/>
      <c r="WMX51" s="45"/>
      <c r="WMY51" s="45"/>
      <c r="WMZ51" s="45"/>
      <c r="WNA51" s="45"/>
      <c r="WNB51" s="45"/>
      <c r="WNC51" s="45"/>
      <c r="WND51" s="45"/>
      <c r="WNE51" s="45"/>
      <c r="WNF51" s="45"/>
      <c r="WNG51" s="45"/>
      <c r="WNH51" s="45"/>
      <c r="WNI51" s="45"/>
      <c r="WNJ51" s="45"/>
      <c r="WNK51" s="45"/>
      <c r="WNL51" s="45"/>
      <c r="WNM51" s="45"/>
      <c r="WNN51" s="45"/>
      <c r="WNO51" s="45"/>
      <c r="WNP51" s="45"/>
      <c r="WNQ51" s="45"/>
      <c r="WNR51" s="45"/>
      <c r="WNS51" s="45"/>
      <c r="WNT51" s="45"/>
      <c r="WNU51" s="45"/>
      <c r="WNV51" s="45"/>
      <c r="WNW51" s="45"/>
      <c r="WNX51" s="45"/>
      <c r="WNY51" s="45"/>
      <c r="WNZ51" s="45"/>
      <c r="WOA51" s="45"/>
      <c r="WOB51" s="45"/>
      <c r="WOC51" s="45"/>
      <c r="WOD51" s="45"/>
      <c r="WOE51" s="45"/>
      <c r="WOF51" s="45"/>
      <c r="WOG51" s="45"/>
      <c r="WOH51" s="45"/>
      <c r="WOI51" s="45"/>
      <c r="WOJ51" s="45"/>
      <c r="WOK51" s="45"/>
      <c r="WOL51" s="45"/>
      <c r="WOM51" s="45"/>
      <c r="WON51" s="45"/>
      <c r="WOO51" s="45"/>
      <c r="WOP51" s="45"/>
      <c r="WOQ51" s="45"/>
      <c r="WOR51" s="45"/>
      <c r="WOS51" s="45"/>
      <c r="WOT51" s="45"/>
      <c r="WOU51" s="45"/>
      <c r="WOV51" s="45"/>
      <c r="WOW51" s="45"/>
      <c r="WOX51" s="45"/>
      <c r="WOY51" s="45"/>
      <c r="WOZ51" s="45"/>
      <c r="WPA51" s="45"/>
      <c r="WPB51" s="45"/>
      <c r="WPC51" s="45"/>
      <c r="WPD51" s="45"/>
      <c r="WPE51" s="45"/>
      <c r="WPF51" s="45"/>
      <c r="WPG51" s="45"/>
      <c r="WPH51" s="45"/>
      <c r="WPI51" s="45"/>
      <c r="WPJ51" s="45"/>
      <c r="WPK51" s="45"/>
      <c r="WPL51" s="45"/>
      <c r="WPM51" s="45"/>
      <c r="WPN51" s="45"/>
      <c r="WPO51" s="45"/>
      <c r="WPP51" s="45"/>
      <c r="WPQ51" s="45"/>
      <c r="WPR51" s="45"/>
      <c r="WPS51" s="45"/>
      <c r="WPT51" s="45"/>
      <c r="WPU51" s="45"/>
      <c r="WPV51" s="45"/>
      <c r="WPW51" s="45"/>
      <c r="WPX51" s="45"/>
      <c r="WPY51" s="45"/>
      <c r="WPZ51" s="45"/>
      <c r="WQA51" s="45"/>
      <c r="WQB51" s="45"/>
      <c r="WQC51" s="45"/>
      <c r="WQD51" s="45"/>
      <c r="WQE51" s="45"/>
      <c r="WQF51" s="45"/>
      <c r="WQG51" s="45"/>
      <c r="WQH51" s="45"/>
      <c r="WQI51" s="45"/>
      <c r="WQJ51" s="45"/>
      <c r="WQK51" s="45"/>
      <c r="WQL51" s="45"/>
      <c r="WQM51" s="45"/>
      <c r="WQN51" s="45"/>
      <c r="WQO51" s="45"/>
      <c r="WQP51" s="45"/>
      <c r="WQQ51" s="45"/>
      <c r="WQR51" s="45"/>
      <c r="WQS51" s="45"/>
      <c r="WQT51" s="45"/>
      <c r="WQU51" s="45"/>
      <c r="WQV51" s="45"/>
      <c r="WQW51" s="45"/>
      <c r="WQX51" s="45"/>
      <c r="WQY51" s="45"/>
      <c r="WQZ51" s="45"/>
      <c r="WRA51" s="45"/>
      <c r="WRB51" s="45"/>
      <c r="WRC51" s="45"/>
      <c r="WRD51" s="45"/>
      <c r="WRE51" s="45"/>
      <c r="WRF51" s="45"/>
      <c r="WRG51" s="45"/>
      <c r="WRH51" s="45"/>
      <c r="WRI51" s="45"/>
      <c r="WRJ51" s="45"/>
      <c r="WRK51" s="45"/>
      <c r="WRL51" s="45"/>
      <c r="WRM51" s="45"/>
      <c r="WRN51" s="45"/>
      <c r="WRO51" s="45"/>
      <c r="WRP51" s="45"/>
      <c r="WRQ51" s="45"/>
      <c r="WRR51" s="45"/>
      <c r="WRS51" s="45"/>
      <c r="WRT51" s="45"/>
      <c r="WRU51" s="45"/>
      <c r="WRV51" s="45"/>
      <c r="WRW51" s="45"/>
      <c r="WRX51" s="45"/>
      <c r="WRY51" s="45"/>
      <c r="WRZ51" s="45"/>
      <c r="WSA51" s="45"/>
      <c r="WSB51" s="45"/>
      <c r="WSC51" s="45"/>
      <c r="WSD51" s="45"/>
      <c r="WSE51" s="45"/>
      <c r="WSF51" s="45"/>
      <c r="WSG51" s="45"/>
      <c r="WSH51" s="45"/>
      <c r="WSI51" s="45"/>
      <c r="WSJ51" s="45"/>
      <c r="WSK51" s="45"/>
      <c r="WSL51" s="45"/>
      <c r="WSM51" s="45"/>
      <c r="WSN51" s="45"/>
      <c r="WSO51" s="45"/>
      <c r="WSP51" s="45"/>
      <c r="WSQ51" s="45"/>
      <c r="WSR51" s="45"/>
      <c r="WSS51" s="45"/>
      <c r="WST51" s="45"/>
      <c r="WSU51" s="45"/>
      <c r="WSV51" s="45"/>
      <c r="WSW51" s="45"/>
      <c r="WSX51" s="45"/>
      <c r="WSY51" s="45"/>
      <c r="WSZ51" s="45"/>
      <c r="WTA51" s="45"/>
      <c r="WTB51" s="45"/>
      <c r="WTC51" s="45"/>
      <c r="WTD51" s="45"/>
      <c r="WTE51" s="45"/>
      <c r="WTF51" s="45"/>
      <c r="WTG51" s="45"/>
      <c r="WTH51" s="45"/>
      <c r="WTI51" s="45"/>
      <c r="WTJ51" s="45"/>
      <c r="WTK51" s="45"/>
      <c r="WTL51" s="45"/>
      <c r="WTM51" s="45"/>
      <c r="WTN51" s="45"/>
      <c r="WTO51" s="45"/>
      <c r="WTP51" s="45"/>
      <c r="WTQ51" s="45"/>
      <c r="WTR51" s="45"/>
      <c r="WTS51" s="45"/>
      <c r="WTT51" s="45"/>
      <c r="WTU51" s="45"/>
      <c r="WTV51" s="45"/>
      <c r="WTW51" s="45"/>
      <c r="WTX51" s="45"/>
      <c r="WTY51" s="45"/>
      <c r="WTZ51" s="45"/>
      <c r="WUA51" s="45"/>
      <c r="WUB51" s="45"/>
      <c r="WUC51" s="45"/>
      <c r="WUD51" s="45"/>
      <c r="WUE51" s="45"/>
      <c r="WUF51" s="45"/>
      <c r="WUG51" s="45"/>
      <c r="WUH51" s="45"/>
      <c r="WUI51" s="45"/>
      <c r="WUJ51" s="45"/>
      <c r="WUK51" s="45"/>
      <c r="WUL51" s="45"/>
      <c r="WUM51" s="45"/>
      <c r="WUN51" s="45"/>
      <c r="WUO51" s="45"/>
      <c r="WUP51" s="45"/>
      <c r="WUQ51" s="45"/>
      <c r="WUR51" s="45"/>
      <c r="WUS51" s="45"/>
      <c r="WUT51" s="45"/>
      <c r="WUU51" s="45"/>
      <c r="WUV51" s="45"/>
      <c r="WUW51" s="45"/>
      <c r="WUX51" s="45"/>
      <c r="WUY51" s="45"/>
      <c r="WUZ51" s="45"/>
      <c r="WVA51" s="45"/>
      <c r="WVB51" s="45"/>
      <c r="WVC51" s="45"/>
      <c r="WVD51" s="45"/>
      <c r="WVE51" s="45"/>
      <c r="WVF51" s="45"/>
      <c r="WVG51" s="45"/>
      <c r="WVH51" s="45"/>
      <c r="WVI51" s="45"/>
      <c r="WVJ51" s="45"/>
      <c r="WVK51" s="45"/>
      <c r="WVL51" s="45"/>
      <c r="WVM51" s="45"/>
      <c r="WVN51" s="45"/>
      <c r="WVO51" s="45"/>
      <c r="WVP51" s="45"/>
      <c r="WVQ51" s="45"/>
      <c r="WVR51" s="45"/>
      <c r="WVS51" s="45"/>
      <c r="WVT51" s="45"/>
      <c r="WVU51" s="45"/>
      <c r="WVV51" s="45"/>
      <c r="WVW51" s="45"/>
      <c r="WVX51" s="45"/>
      <c r="WVY51" s="45"/>
      <c r="WVZ51" s="45"/>
      <c r="WWA51" s="45"/>
      <c r="WWB51" s="45"/>
      <c r="WWC51" s="45"/>
      <c r="WWD51" s="45"/>
      <c r="WWE51" s="45"/>
      <c r="WWF51" s="45"/>
      <c r="WWG51" s="45"/>
      <c r="WWH51" s="45"/>
      <c r="WWI51" s="45"/>
      <c r="WWJ51" s="45"/>
      <c r="WWK51" s="45"/>
      <c r="WWL51" s="45"/>
      <c r="WWM51" s="45"/>
      <c r="WWN51" s="45"/>
      <c r="WWO51" s="45"/>
      <c r="WWP51" s="45"/>
      <c r="WWQ51" s="45"/>
      <c r="WWR51" s="45"/>
      <c r="WWS51" s="45"/>
      <c r="WWT51" s="45"/>
      <c r="WWU51" s="45"/>
      <c r="WWV51" s="45"/>
      <c r="WWW51" s="45"/>
      <c r="WWX51" s="45"/>
      <c r="WWY51" s="45"/>
      <c r="WWZ51" s="45"/>
      <c r="WXA51" s="45"/>
      <c r="WXB51" s="45"/>
      <c r="WXC51" s="45"/>
      <c r="WXD51" s="45"/>
      <c r="WXE51" s="45"/>
      <c r="WXF51" s="45"/>
      <c r="WXG51" s="45"/>
      <c r="WXH51" s="45"/>
      <c r="WXI51" s="45"/>
      <c r="WXJ51" s="45"/>
      <c r="WXK51" s="45"/>
      <c r="WXL51" s="45"/>
      <c r="WXM51" s="45"/>
      <c r="WXN51" s="45"/>
      <c r="WXO51" s="45"/>
      <c r="WXP51" s="45"/>
      <c r="WXQ51" s="45"/>
      <c r="WXR51" s="45"/>
      <c r="WXS51" s="45"/>
      <c r="WXT51" s="45"/>
      <c r="WXU51" s="45"/>
      <c r="WXV51" s="45"/>
      <c r="WXW51" s="45"/>
      <c r="WXX51" s="45"/>
      <c r="WXY51" s="45"/>
      <c r="WXZ51" s="45"/>
      <c r="WYA51" s="45"/>
      <c r="WYB51" s="45"/>
      <c r="WYC51" s="45"/>
      <c r="WYD51" s="45"/>
      <c r="WYE51" s="45"/>
      <c r="WYF51" s="45"/>
      <c r="WYG51" s="45"/>
      <c r="WYH51" s="45"/>
      <c r="WYI51" s="45"/>
      <c r="WYJ51" s="45"/>
      <c r="WYK51" s="45"/>
      <c r="WYL51" s="45"/>
      <c r="WYM51" s="45"/>
      <c r="WYN51" s="45"/>
      <c r="WYO51" s="45"/>
      <c r="WYP51" s="45"/>
      <c r="WYQ51" s="45"/>
      <c r="WYR51" s="45"/>
      <c r="WYS51" s="45"/>
      <c r="WYT51" s="45"/>
      <c r="WYU51" s="45"/>
      <c r="WYV51" s="45"/>
      <c r="WYW51" s="45"/>
      <c r="WYX51" s="45"/>
      <c r="WYY51" s="45"/>
      <c r="WYZ51" s="45"/>
      <c r="WZA51" s="45"/>
      <c r="WZB51" s="45"/>
      <c r="WZC51" s="45"/>
      <c r="WZD51" s="45"/>
      <c r="WZE51" s="45"/>
      <c r="WZF51" s="45"/>
      <c r="WZG51" s="45"/>
      <c r="WZH51" s="45"/>
      <c r="WZI51" s="45"/>
      <c r="WZJ51" s="45"/>
      <c r="WZK51" s="45"/>
      <c r="WZL51" s="45"/>
      <c r="WZM51" s="45"/>
      <c r="WZN51" s="45"/>
      <c r="WZO51" s="45"/>
      <c r="WZP51" s="45"/>
      <c r="WZQ51" s="45"/>
      <c r="WZR51" s="45"/>
      <c r="WZS51" s="45"/>
      <c r="WZT51" s="45"/>
      <c r="WZU51" s="45"/>
      <c r="WZV51" s="45"/>
      <c r="WZW51" s="45"/>
      <c r="WZX51" s="45"/>
      <c r="WZY51" s="45"/>
      <c r="WZZ51" s="45"/>
      <c r="XAA51" s="45"/>
      <c r="XAB51" s="45"/>
      <c r="XAC51" s="45"/>
      <c r="XAD51" s="45"/>
      <c r="XAE51" s="45"/>
      <c r="XAF51" s="45"/>
      <c r="XAG51" s="45"/>
      <c r="XAH51" s="45"/>
      <c r="XAI51" s="45"/>
      <c r="XAJ51" s="45"/>
      <c r="XAK51" s="45"/>
      <c r="XAL51" s="45"/>
      <c r="XAM51" s="45"/>
      <c r="XAN51" s="45"/>
      <c r="XAO51" s="45"/>
      <c r="XAP51" s="45"/>
      <c r="XAQ51" s="45"/>
      <c r="XAR51" s="45"/>
      <c r="XAS51" s="45"/>
      <c r="XAT51" s="45"/>
      <c r="XAU51" s="45"/>
      <c r="XAV51" s="45"/>
      <c r="XAW51" s="45"/>
      <c r="XAX51" s="45"/>
      <c r="XAY51" s="45"/>
      <c r="XAZ51" s="45"/>
      <c r="XBA51" s="45"/>
      <c r="XBB51" s="45"/>
      <c r="XBC51" s="45"/>
      <c r="XBD51" s="45"/>
      <c r="XBE51" s="45"/>
      <c r="XBF51" s="45"/>
      <c r="XBG51" s="45"/>
      <c r="XBH51" s="45"/>
      <c r="XBI51" s="45"/>
      <c r="XBJ51" s="45"/>
      <c r="XBK51" s="45"/>
      <c r="XBL51" s="45"/>
      <c r="XBM51" s="45"/>
      <c r="XBN51" s="45"/>
      <c r="XBO51" s="45"/>
      <c r="XBP51" s="45"/>
      <c r="XBQ51" s="45"/>
      <c r="XBR51" s="45"/>
      <c r="XBS51" s="45"/>
      <c r="XBT51" s="45"/>
      <c r="XBU51" s="45"/>
      <c r="XBV51" s="45"/>
      <c r="XBW51" s="45"/>
      <c r="XBX51" s="45"/>
      <c r="XBY51" s="45"/>
      <c r="XBZ51" s="45"/>
      <c r="XCA51" s="45"/>
      <c r="XCB51" s="45"/>
      <c r="XCC51" s="45"/>
      <c r="XCD51" s="45"/>
      <c r="XCE51" s="45"/>
      <c r="XCF51" s="45"/>
      <c r="XCG51" s="45"/>
      <c r="XCH51" s="45"/>
      <c r="XCI51" s="45"/>
      <c r="XCJ51" s="45"/>
      <c r="XCK51" s="45"/>
      <c r="XCL51" s="45"/>
      <c r="XCM51" s="45"/>
      <c r="XCN51" s="45"/>
      <c r="XCO51" s="45"/>
      <c r="XCP51" s="45"/>
      <c r="XCQ51" s="45"/>
      <c r="XCR51" s="45"/>
      <c r="XCS51" s="45"/>
      <c r="XCT51" s="45"/>
      <c r="XCU51" s="45"/>
      <c r="XCV51" s="45"/>
      <c r="XCW51" s="45"/>
      <c r="XCX51" s="45"/>
      <c r="XCY51" s="45"/>
      <c r="XCZ51" s="45"/>
      <c r="XDA51" s="45"/>
      <c r="XDB51" s="45"/>
      <c r="XDC51" s="45"/>
      <c r="XDD51" s="45"/>
      <c r="XDE51" s="45"/>
      <c r="XDF51" s="45"/>
      <c r="XDG51" s="45"/>
      <c r="XDH51" s="45"/>
      <c r="XDI51" s="45"/>
      <c r="XDJ51" s="45"/>
      <c r="XDK51" s="45"/>
      <c r="XDL51" s="45"/>
      <c r="XDM51" s="45"/>
      <c r="XDN51" s="45"/>
      <c r="XDO51" s="45"/>
      <c r="XDP51" s="45"/>
      <c r="XDQ51" s="45"/>
      <c r="XDR51" s="45"/>
      <c r="XDS51" s="45"/>
      <c r="XDT51" s="45"/>
      <c r="XDU51" s="45"/>
      <c r="XDV51" s="45"/>
      <c r="XDW51" s="45"/>
      <c r="XDX51" s="45"/>
      <c r="XDY51" s="45"/>
      <c r="XDZ51" s="45"/>
      <c r="XEA51" s="45"/>
      <c r="XEB51" s="45"/>
      <c r="XEC51" s="45"/>
      <c r="XED51" s="45"/>
      <c r="XEE51" s="45"/>
      <c r="XEF51" s="45"/>
      <c r="XEG51" s="45"/>
      <c r="XEH51" s="45"/>
      <c r="XEI51" s="45"/>
      <c r="XEJ51" s="45"/>
      <c r="XEK51" s="45"/>
      <c r="XEL51" s="45"/>
      <c r="XEM51" s="45"/>
      <c r="XEN51" s="45"/>
      <c r="XEO51" s="45"/>
      <c r="XEP51" s="45"/>
      <c r="XEQ51" s="45"/>
      <c r="XER51" s="45"/>
      <c r="XES51" s="45"/>
      <c r="XET51" s="45"/>
      <c r="XEU51" s="45"/>
      <c r="XEV51" s="45"/>
      <c r="XEW51" s="45"/>
      <c r="XEX51" s="45"/>
    </row>
    <row r="52" spans="1:16378" s="6" customFormat="1">
      <c r="A52" s="881" t="s">
        <v>111</v>
      </c>
      <c r="B52" s="656">
        <v>4.9859999999999998</v>
      </c>
      <c r="C52" s="28"/>
      <c r="D52" s="35"/>
      <c r="E52" s="28"/>
      <c r="F52" s="944"/>
      <c r="G52"/>
      <c r="H52"/>
      <c r="I52"/>
      <c r="J52"/>
      <c r="K52"/>
      <c r="L52"/>
      <c r="M52"/>
      <c r="N52"/>
      <c r="O52"/>
      <c r="AQ52" s="50">
        <v>0</v>
      </c>
      <c r="AR52" s="50">
        <v>0</v>
      </c>
      <c r="AS52" s="50">
        <v>2.79</v>
      </c>
      <c r="AT52" s="50"/>
      <c r="AU52" s="50"/>
      <c r="AV52" s="51"/>
      <c r="AW52" s="51"/>
      <c r="BB52"/>
      <c r="BC52"/>
    </row>
    <row r="53" spans="1:16378" s="6" customFormat="1">
      <c r="A53" s="881" t="s">
        <v>112</v>
      </c>
      <c r="B53" s="656">
        <v>1.278</v>
      </c>
      <c r="C53" s="28"/>
      <c r="D53" s="35"/>
      <c r="E53" s="28"/>
      <c r="F53" s="944"/>
      <c r="G53"/>
      <c r="H53"/>
      <c r="I53"/>
      <c r="J53"/>
      <c r="K53"/>
      <c r="L53"/>
      <c r="M53"/>
      <c r="N53"/>
      <c r="O53"/>
      <c r="AQ53" s="52"/>
      <c r="AR53" s="52"/>
      <c r="AS53" s="52"/>
      <c r="AT53" s="52"/>
      <c r="AU53" s="52"/>
      <c r="AV53" s="52"/>
      <c r="AW53" s="52"/>
      <c r="BB53"/>
      <c r="BC53"/>
    </row>
    <row r="54" spans="1:16378" s="6" customFormat="1">
      <c r="A54" s="884" t="s">
        <v>113</v>
      </c>
      <c r="B54" s="656"/>
      <c r="C54" s="28"/>
      <c r="D54" s="35"/>
      <c r="E54" s="28"/>
      <c r="F54" s="944"/>
      <c r="G54"/>
      <c r="H54"/>
      <c r="I54"/>
      <c r="J54"/>
      <c r="K54"/>
      <c r="L54"/>
      <c r="M54"/>
      <c r="N54"/>
      <c r="O54"/>
      <c r="AQ54" s="52" t="str">
        <f>IF('Initial data collection sheet'!B138=0,"No data",'Fuel use input data'!B123/'Initial data collection sheet'!B138)</f>
        <v>No data</v>
      </c>
      <c r="AR54" s="52" t="str">
        <f>IF('Initial data collection sheet'!B138=0,"No data",('Fuel use input data'!D13*'Fuel use input data'!K13)/'Initial data collection sheet'!B138)</f>
        <v>No data</v>
      </c>
      <c r="AS54" s="52" t="str">
        <f>IF('Initial data collection sheet'!B138=0,"No data",'Fuel use input data'!D16/'Initial data collection sheet'!B138)</f>
        <v>No data</v>
      </c>
      <c r="AT54" s="52" t="str">
        <f>IF('Initial data collection sheet'!B138=0,"No data",'Fuel use input data'!C111/SUM('Initial data collection sheet'!B138))</f>
        <v>No data</v>
      </c>
      <c r="AU54" s="52"/>
      <c r="AV54" s="52" t="str">
        <f>IF('Initial data collection sheet'!B138=0,"No data",'Fuel use input data'!B111/'Initial data collection sheet'!AI138)</f>
        <v>No data</v>
      </c>
      <c r="AW54" s="52" t="str">
        <f>IF('Initial data collection sheet'!B138=0,"No data",'Fuel use input data'!C111/'Initial data collection sheet'!AI138)</f>
        <v>No data</v>
      </c>
      <c r="BB54"/>
      <c r="BC54"/>
    </row>
    <row r="55" spans="1:16378" s="6" customFormat="1">
      <c r="A55" s="881" t="s">
        <v>114</v>
      </c>
      <c r="B55" s="656">
        <v>11.628</v>
      </c>
      <c r="C55" s="28"/>
      <c r="D55" s="35"/>
      <c r="E55" s="28"/>
      <c r="F55" s="944"/>
      <c r="G55"/>
      <c r="H55"/>
      <c r="I55"/>
      <c r="J55"/>
      <c r="K55"/>
      <c r="L55"/>
      <c r="M55"/>
      <c r="N55"/>
      <c r="O55"/>
      <c r="AQ55" s="52" t="str">
        <f>IF('Initial data collection sheet'!B139=0,"No data",'Fuel use input data'!B122/'Initial data collection sheet'!B139)</f>
        <v>No data</v>
      </c>
      <c r="AR55" s="52" t="str">
        <f>IF('Initial data collection sheet'!B139=0,"No data",('Fuel use input data'!D13*'Fuel use input data'!K13)/'Initial data collection sheet'!B139)</f>
        <v>No data</v>
      </c>
      <c r="AS55" s="52" t="str">
        <f>IF('Initial data collection sheet'!B139=0,"No data",('Fuel use input data'!D16*'Fuel use input data'!K16)/'Initial data collection sheet'!B139)</f>
        <v>No data</v>
      </c>
      <c r="AT55" s="52" t="str">
        <f>IF('Initial data collection sheet'!B139=0,"No data",'Fuel use input data'!C110/SUM('Initial data collection sheet'!B139))</f>
        <v>No data</v>
      </c>
      <c r="AU55" s="52"/>
      <c r="AV55" s="52" t="str">
        <f>IF('Initial data collection sheet'!B139=0,"No data",'Fuel use input data'!B110/SUM('Initial data collection sheet'!AI137,'Initial data collection sheet'!AI139:AI142))</f>
        <v>No data</v>
      </c>
      <c r="AW55" s="52" t="str">
        <f>IF('Initial data collection sheet'!B139=0,"No data",'Fuel use input data'!C110/SUM('Initial data collection sheet'!AI137,'Initial data collection sheet'!AI139:AI142))</f>
        <v>No data</v>
      </c>
      <c r="BB55"/>
      <c r="BC55"/>
    </row>
    <row r="56" spans="1:16378" s="6" customFormat="1">
      <c r="A56" s="881" t="s">
        <v>115</v>
      </c>
      <c r="B56" s="656">
        <v>10.044</v>
      </c>
      <c r="C56" s="28"/>
      <c r="D56" s="675"/>
      <c r="E56" s="28"/>
      <c r="F56" s="944"/>
      <c r="G56"/>
      <c r="H56"/>
      <c r="I56"/>
      <c r="J56"/>
      <c r="K56"/>
      <c r="L56"/>
      <c r="M56"/>
      <c r="N56"/>
      <c r="O56"/>
      <c r="AL56"/>
      <c r="AM56"/>
      <c r="AN56"/>
      <c r="AO56"/>
      <c r="AP56"/>
      <c r="AQ56"/>
      <c r="AR56"/>
      <c r="AS56"/>
      <c r="AT56"/>
      <c r="AU56"/>
      <c r="AV56"/>
      <c r="AW56"/>
      <c r="AX56"/>
      <c r="AY56"/>
      <c r="AZ56"/>
      <c r="BA56"/>
      <c r="BB56"/>
      <c r="BC56"/>
    </row>
    <row r="57" spans="1:16378" s="6" customFormat="1">
      <c r="A57" s="880"/>
      <c r="B57" s="657"/>
      <c r="C57" s="28"/>
      <c r="D57" s="675"/>
      <c r="E57" s="28"/>
      <c r="F57" s="944"/>
      <c r="G57"/>
      <c r="H57"/>
      <c r="I57"/>
      <c r="J57"/>
      <c r="K57"/>
      <c r="L57"/>
      <c r="M57"/>
      <c r="N57"/>
      <c r="O57"/>
      <c r="AL57"/>
      <c r="AM57"/>
      <c r="AN57"/>
      <c r="AO57"/>
      <c r="AP57"/>
      <c r="AQ57"/>
      <c r="AR57"/>
      <c r="AS57"/>
      <c r="AT57"/>
      <c r="AU57"/>
      <c r="AV57"/>
      <c r="AW57"/>
      <c r="AX57"/>
      <c r="AY57"/>
      <c r="AZ57"/>
      <c r="BA57"/>
      <c r="BB57"/>
      <c r="BC57"/>
    </row>
    <row r="58" spans="1:16378" s="6" customFormat="1">
      <c r="A58" s="883" t="s">
        <v>483</v>
      </c>
      <c r="B58" s="658" t="str">
        <f>IF('Initial data collection sheet'!B138=0,"No data",'Fuel use input data'!B111/'Initial data collection sheet'!B138)</f>
        <v>No data</v>
      </c>
      <c r="C58" s="28"/>
      <c r="D58" s="675" t="str">
        <f>IF(SUM('Initial data collection sheet'!B138)=0,"No layers",IF('Initial data collection sheet'!B138&lt;75000,'Energy and carbon'!B58/'Energy and carbon'!B55,'Energy and carbon'!B58/'Energy and carbon'!B56))</f>
        <v>No layers</v>
      </c>
      <c r="E58" s="28" t="s">
        <v>485</v>
      </c>
      <c r="F58" s="944" t="str">
        <f>IF(D58="no layers","N/A",IF(D58&gt;=125%,1,IF(AND(D58&gt;=0,D58&lt;0.49),5,IF(AND(D58&gt;=0.5,D58&lt;0.75),4,IF(AND(D58&gt;=0.75,D58&lt;1),3,IF(AND(D58&gt;=1,D58&lt;1.25),2))))))</f>
        <v>N/A</v>
      </c>
      <c r="G58"/>
      <c r="H58"/>
      <c r="I58"/>
      <c r="J58"/>
      <c r="K58"/>
      <c r="L58"/>
      <c r="M58"/>
      <c r="N58"/>
      <c r="O58"/>
    </row>
    <row r="59" spans="1:16378" s="6" customFormat="1">
      <c r="A59" s="883" t="s">
        <v>484</v>
      </c>
      <c r="B59" s="658" t="str">
        <f>IF('Initial data collection sheet'!B139=0,"No data",'Fuel use input data'!B110/'Initial data collection sheet'!B139)</f>
        <v>No data</v>
      </c>
      <c r="C59" s="28"/>
      <c r="D59" s="675" t="str">
        <f>IF(SUM('Initial data collection sheet'!B139)=0,"No broilers",IF(SUM('Initial data collection sheet'!B139)&lt;200000,B59/'Energy and carbon'!B52,B59/'Energy and carbon'!B53))</f>
        <v>No broilers</v>
      </c>
      <c r="E59" s="28" t="s">
        <v>485</v>
      </c>
      <c r="F59" s="944" t="str">
        <f>IF(D59="no broilers","N/A",IF(D59&gt;=125%,1,IF(AND(D59&gt;=0,D59&lt;0.49),5,IF(AND(D59&gt;=0.5,D59&lt;0.75),4,IF(AND(D59&gt;=0.75,D59&lt;1),3,IF(AND(D59&gt;=1,D59&lt;1.25),2))))))</f>
        <v>N/A</v>
      </c>
      <c r="G59"/>
      <c r="H59"/>
      <c r="I59"/>
      <c r="J59"/>
      <c r="K59"/>
      <c r="L59"/>
      <c r="M59"/>
      <c r="N59"/>
      <c r="O59"/>
    </row>
    <row r="60" spans="1:16378" ht="27" customHeight="1">
      <c r="A60" s="606"/>
      <c r="B60" s="35"/>
      <c r="C60" s="28"/>
      <c r="D60" s="675"/>
      <c r="E60" s="28"/>
      <c r="F60" s="938"/>
    </row>
    <row r="61" spans="1:16378">
      <c r="A61" s="595" t="s">
        <v>1776</v>
      </c>
      <c r="B61" s="476" t="s">
        <v>1775</v>
      </c>
      <c r="C61" s="28"/>
      <c r="D61" s="476" t="s">
        <v>1533</v>
      </c>
      <c r="E61" s="28"/>
      <c r="F61" s="944"/>
    </row>
    <row r="62" spans="1:16378">
      <c r="A62" s="885" t="s">
        <v>1534</v>
      </c>
      <c r="B62" s="658">
        <f>'Fuel use input data'!B113</f>
        <v>0</v>
      </c>
      <c r="C62" s="28"/>
      <c r="D62" s="676" t="str">
        <f>IF(B62=0,"no domestic", B62/86420)</f>
        <v>no domestic</v>
      </c>
      <c r="E62" s="28"/>
      <c r="F62" s="944" t="str">
        <f>IF(D62="no domestic","N/A",IF(D62&gt;=125%,1,IF(AND(D62&gt;=0,D62&lt;0.49),5,IF(AND(D62&gt;=0.5,D62&lt;0.75),4,IF(AND(D62&gt;=0.75,D62&lt;1),3,IF(AND(D62&gt;=1,D62&lt;1.25),2))))))</f>
        <v>N/A</v>
      </c>
    </row>
    <row r="63" spans="1:16378">
      <c r="A63" s="606"/>
      <c r="B63" s="35"/>
      <c r="C63" s="28"/>
      <c r="D63" s="35"/>
      <c r="E63" s="28"/>
      <c r="F63" s="936"/>
    </row>
    <row r="64" spans="1:16378">
      <c r="A64" s="886"/>
      <c r="B64" s="730"/>
      <c r="C64" s="727"/>
      <c r="D64" s="730"/>
      <c r="E64" s="727"/>
      <c r="F64" s="949" t="str">
        <f>IF(AND(F17="N/A", F26="N/A",F36="N/A",F46="N/A",F58="N/A",F59="N/A"),"N/A",ROUND(AVERAGE(F59,F58,F46,F36,F26,F17,F62),0))</f>
        <v>N/A</v>
      </c>
    </row>
    <row r="65" spans="1:6">
      <c r="A65" s="606"/>
      <c r="B65" s="35"/>
      <c r="C65" s="28"/>
      <c r="D65" s="35"/>
      <c r="E65" s="28"/>
      <c r="F65" s="936"/>
    </row>
    <row r="66" spans="1:6">
      <c r="A66" s="603" t="s">
        <v>1357</v>
      </c>
      <c r="B66" s="35"/>
      <c r="C66" s="28"/>
      <c r="D66" s="35"/>
      <c r="E66" s="28"/>
      <c r="F66" s="938"/>
    </row>
    <row r="67" spans="1:6">
      <c r="A67" s="606" t="s">
        <v>1358</v>
      </c>
      <c r="B67" s="661">
        <f>SUM('Fuel use input data'!B105:B113)</f>
        <v>0</v>
      </c>
      <c r="C67" s="28"/>
      <c r="D67" s="35"/>
      <c r="E67" s="28"/>
      <c r="F67" s="938"/>
    </row>
    <row r="68" spans="1:6" ht="15.75" thickBot="1">
      <c r="A68" s="606" t="s">
        <v>1359</v>
      </c>
      <c r="B68" s="654">
        <f>SUM('Fuel use input data'!B63:J63)+SUM('Fuel use input data'!B65:J65)</f>
        <v>0</v>
      </c>
      <c r="C68" s="28"/>
      <c r="D68" s="35"/>
      <c r="E68" s="28"/>
      <c r="F68" s="938"/>
    </row>
    <row r="69" spans="1:6" ht="15.75" thickTop="1">
      <c r="A69" s="886" t="s">
        <v>1360</v>
      </c>
      <c r="B69" s="731" t="e">
        <f>B68/B67</f>
        <v>#DIV/0!</v>
      </c>
      <c r="C69" s="727"/>
      <c r="D69" s="730"/>
      <c r="E69" s="727"/>
      <c r="F69" s="950" t="str">
        <f>IF(ISERROR(B69),"N/A",IF(B69=0,1,IF(B69&lt;0.2,2,IF(B69&lt;0.4,3,IF(B69&lt;0.6,4,IF(B69&lt;1,5,"invalid data"))))))</f>
        <v>N/A</v>
      </c>
    </row>
    <row r="70" spans="1:6" ht="18">
      <c r="A70" s="887" t="s">
        <v>1792</v>
      </c>
      <c r="B70" s="728"/>
      <c r="C70" s="728"/>
      <c r="D70" s="729"/>
      <c r="E70" s="728"/>
      <c r="F70" s="929"/>
    </row>
    <row r="71" spans="1:6">
      <c r="A71" s="603"/>
      <c r="B71" s="28"/>
      <c r="C71" s="28"/>
      <c r="D71" s="35"/>
      <c r="E71" s="28"/>
      <c r="F71" s="926"/>
    </row>
    <row r="72" spans="1:6">
      <c r="A72" s="606" t="s">
        <v>1536</v>
      </c>
      <c r="B72" s="35" t="str">
        <f>'Initial data collection sheet'!B27</f>
        <v>Yes</v>
      </c>
      <c r="C72" s="28"/>
      <c r="D72" s="35"/>
      <c r="E72" s="28"/>
      <c r="F72" s="926"/>
    </row>
    <row r="73" spans="1:6">
      <c r="A73" s="603"/>
      <c r="B73" s="28"/>
      <c r="C73" s="28"/>
      <c r="D73" s="35"/>
      <c r="E73" s="28"/>
      <c r="F73" s="926"/>
    </row>
    <row r="74" spans="1:6" ht="48">
      <c r="A74" s="603"/>
      <c r="B74" s="875" t="s">
        <v>1519</v>
      </c>
      <c r="C74" s="875" t="s">
        <v>1520</v>
      </c>
      <c r="D74" s="876"/>
      <c r="E74" s="877" t="s">
        <v>1390</v>
      </c>
      <c r="F74" s="926"/>
    </row>
    <row r="75" spans="1:6" ht="18">
      <c r="A75" s="606" t="s">
        <v>1793</v>
      </c>
      <c r="B75" s="871">
        <f>'Fuel use input data'!I79</f>
        <v>0</v>
      </c>
      <c r="C75" s="871">
        <f>SUM('Initial data collection sheet'!T156:T196)*1000</f>
        <v>0</v>
      </c>
      <c r="D75" s="824"/>
      <c r="E75" s="871">
        <f>B75-C75</f>
        <v>0</v>
      </c>
      <c r="F75" s="926">
        <f>IF(B72="no","N/A",IF(E75&gt;=1,1,IF(E75&lt;=1,5,"N/A")))</f>
        <v>5</v>
      </c>
    </row>
    <row r="76" spans="1:6">
      <c r="A76" s="886"/>
      <c r="B76" s="947"/>
      <c r="C76" s="947"/>
      <c r="D76" s="947"/>
      <c r="E76" s="947"/>
      <c r="F76" s="928"/>
    </row>
    <row r="77" spans="1:6">
      <c r="A77" s="603" t="s">
        <v>1521</v>
      </c>
      <c r="B77" s="824"/>
      <c r="C77" s="824"/>
      <c r="D77" s="824"/>
      <c r="E77" s="824"/>
      <c r="F77" s="926"/>
    </row>
    <row r="78" spans="1:6" ht="29.25" customHeight="1">
      <c r="A78" s="903" t="s">
        <v>1517</v>
      </c>
      <c r="B78" s="824">
        <f>'Fuel use input data'!D19</f>
        <v>0</v>
      </c>
      <c r="C78" s="824" t="str">
        <f>'Fuel use input data'!E19</f>
        <v>tonnes</v>
      </c>
      <c r="D78" s="824"/>
      <c r="E78" s="824"/>
      <c r="F78" s="926"/>
    </row>
    <row r="79" spans="1:6" ht="17.25">
      <c r="A79" s="904" t="s">
        <v>1518</v>
      </c>
      <c r="B79" s="824">
        <f>(SUM('Initial data collection sheet'!I160,'Initial data collection sheet'!I173,'Initial data collection sheet'!I187,'Initial data collection sheet'!I198))-B78</f>
        <v>1</v>
      </c>
      <c r="C79" s="824" t="str">
        <f>'Initial data collection sheet'!F153</f>
        <v>tonnes</v>
      </c>
      <c r="D79" s="824"/>
      <c r="E79" s="824"/>
      <c r="F79" s="926"/>
    </row>
    <row r="80" spans="1:6">
      <c r="A80" s="606"/>
      <c r="B80" s="824"/>
      <c r="C80" s="824"/>
      <c r="D80" s="824"/>
      <c r="E80" s="824"/>
      <c r="F80" s="926"/>
    </row>
    <row r="81" spans="1:6">
      <c r="A81" s="606" t="s">
        <v>1500</v>
      </c>
      <c r="B81" s="905">
        <f>IF($C$78=$A$122,(($B$78/1.84)*7500),(($B$78*7500)))</f>
        <v>0</v>
      </c>
      <c r="C81" s="824"/>
      <c r="D81" s="824"/>
      <c r="E81" s="824"/>
      <c r="F81" s="926"/>
    </row>
    <row r="82" spans="1:6" ht="15.75" thickBot="1">
      <c r="A82" s="606" t="s">
        <v>1501</v>
      </c>
      <c r="B82" s="906">
        <f>IF($C$79=$A$122,(($B$79/1.84)*7500),(($B$79*7500)))</f>
        <v>7500</v>
      </c>
      <c r="C82" s="824"/>
      <c r="D82" s="824"/>
      <c r="E82" s="824"/>
      <c r="F82" s="926"/>
    </row>
    <row r="83" spans="1:6" ht="15.75" thickTop="1">
      <c r="A83" s="889" t="s">
        <v>1774</v>
      </c>
      <c r="B83" s="905">
        <f>SUM(B81:B82)</f>
        <v>7500</v>
      </c>
      <c r="C83" s="824"/>
      <c r="D83" s="824"/>
      <c r="E83" s="824"/>
      <c r="F83" s="926"/>
    </row>
    <row r="84" spans="1:6">
      <c r="A84" s="606"/>
      <c r="B84" s="872"/>
      <c r="C84" s="824"/>
      <c r="D84" s="824"/>
      <c r="E84" s="824"/>
      <c r="F84" s="926"/>
    </row>
    <row r="85" spans="1:6">
      <c r="A85" s="606"/>
      <c r="B85" s="872"/>
      <c r="C85" s="824"/>
      <c r="D85" s="824"/>
      <c r="E85" s="824"/>
      <c r="F85" s="926"/>
    </row>
    <row r="86" spans="1:6">
      <c r="A86" s="606"/>
      <c r="B86" s="872"/>
      <c r="C86" s="824"/>
      <c r="D86" s="824"/>
      <c r="E86" s="824"/>
      <c r="F86" s="926"/>
    </row>
    <row r="87" spans="1:6" ht="15.75" customHeight="1">
      <c r="A87" s="888" t="s">
        <v>1514</v>
      </c>
      <c r="B87" s="905">
        <f>IF('Initial data collection sheet'!B28=CO2_fuel_calc!A4,'Energy and carbon'!B83*CO2_fuel_calc!C4,IF('Initial data collection sheet'!B28=CO2_fuel_calc!A5,'Energy and carbon'!B83*CO2_fuel_calc!C5,IF('Initial data collection sheet'!B28=CO2_fuel_calc!A5,'Energy and carbon'!B83*CO2_fuel_calc!C5,IF('Initial data collection sheet'!B28=CO2_fuel_calc!A5,'Energy and carbon'!B83*CO2_fuel_calc!C5,IF('Initial data collection sheet'!B28=CO2_fuel_calc!A6,'Energy and carbon'!B83*CO2_fuel_calc!C6,IF('Initial data collection sheet'!B28=CO2_fuel_calc!A7,'Energy and carbon'!B83*CO2_fuel_calc!C7,IF('Initial data collection sheet'!B28=CO2_fuel_calc!A8,'Energy and carbon'!B83*CO2_fuel_calc!C8,IF('Initial data collection sheet'!B28=CO2_fuel_calc!A9,'Energy and carbon'!B83*CO2_fuel_calc!C9,IF('Initial data collection sheet'!B28=CO2_fuel_calc!A10,'Energy and carbon'!B83*CO2_fuel_calc!C19,"N/A")))))))))</f>
        <v>8608.9500000000007</v>
      </c>
      <c r="C87" s="824"/>
      <c r="D87" s="873"/>
      <c r="E87" s="824"/>
      <c r="F87" s="926"/>
    </row>
    <row r="88" spans="1:6" ht="18">
      <c r="A88" s="888" t="s">
        <v>1515</v>
      </c>
      <c r="B88" s="590">
        <f>'Fuel use input data'!I79</f>
        <v>0</v>
      </c>
      <c r="C88" s="824"/>
      <c r="D88" s="824"/>
      <c r="E88" s="824"/>
      <c r="F88" s="926"/>
    </row>
    <row r="89" spans="1:6">
      <c r="A89" s="888"/>
      <c r="B89" s="824"/>
      <c r="C89" s="824"/>
      <c r="D89" s="824"/>
      <c r="E89" s="824"/>
      <c r="F89" s="926"/>
    </row>
    <row r="90" spans="1:6" ht="18">
      <c r="A90" s="888" t="s">
        <v>1516</v>
      </c>
      <c r="B90" s="874">
        <f>B88/B87</f>
        <v>0</v>
      </c>
      <c r="C90" s="824"/>
      <c r="D90" s="824"/>
      <c r="E90" s="824"/>
      <c r="F90" s="926">
        <f>IF(ISERROR(B90),"N/A",IF(B90&lt;0.5,5,IF(B90&lt;0.75,3,IF(B90&lt;0.8,3,IF(B90&lt;1,1,IF(B90&gt;1,1,"N/A"))))))</f>
        <v>5</v>
      </c>
    </row>
    <row r="91" spans="1:6">
      <c r="A91" s="606"/>
      <c r="B91" s="28"/>
      <c r="C91" s="28"/>
      <c r="D91" s="35"/>
      <c r="E91" s="28"/>
      <c r="F91" s="926"/>
    </row>
    <row r="92" spans="1:6" ht="15.75" thickBot="1">
      <c r="A92" s="890"/>
      <c r="B92" s="891"/>
      <c r="C92" s="891"/>
      <c r="D92" s="491"/>
      <c r="E92" s="891"/>
      <c r="F92" s="946">
        <f>IF(AND(F75="n/a",F90="n/a")=TRUE,"N/A",ROUND(AVERAGE(F75,F90),0))</f>
        <v>5</v>
      </c>
    </row>
    <row r="93" spans="1:6" ht="15.75" thickBot="1">
      <c r="E93" s="878" t="s">
        <v>1673</v>
      </c>
      <c r="F93" s="879">
        <f>AVERAGE('Energy and carbon'!F64,'Energy and carbon'!F69,F92)</f>
        <v>5</v>
      </c>
    </row>
    <row r="98" spans="1:6">
      <c r="A98" s="7"/>
    </row>
    <row r="100" spans="1:6" hidden="1">
      <c r="A100" s="4" t="s">
        <v>232</v>
      </c>
      <c r="B100" s="4"/>
      <c r="C100" s="4"/>
      <c r="D100" s="299"/>
      <c r="E100" s="4"/>
      <c r="F100" s="4"/>
    </row>
    <row r="101" spans="1:6" hidden="1">
      <c r="A101" s="4" t="s">
        <v>233</v>
      </c>
      <c r="B101" s="4" t="s">
        <v>182</v>
      </c>
      <c r="C101" s="4"/>
      <c r="D101" s="299"/>
      <c r="E101" s="4"/>
      <c r="F101" s="4"/>
    </row>
    <row r="102" spans="1:6" hidden="1">
      <c r="A102" s="44"/>
      <c r="B102" s="44"/>
      <c r="C102" s="44"/>
      <c r="D102" s="44"/>
      <c r="E102" s="44"/>
      <c r="F102" s="1"/>
    </row>
    <row r="103" spans="1:6" hidden="1">
      <c r="A103" s="44"/>
      <c r="B103" s="44"/>
      <c r="C103" s="44"/>
      <c r="D103" s="44"/>
      <c r="E103" s="44"/>
      <c r="F103" s="1"/>
    </row>
    <row r="104" spans="1:6" hidden="1">
      <c r="A104" s="27" t="s">
        <v>234</v>
      </c>
      <c r="B104" s="27"/>
      <c r="C104" s="27"/>
      <c r="D104" s="44"/>
      <c r="E104" s="27"/>
      <c r="F104" s="1"/>
    </row>
    <row r="105" spans="1:6" hidden="1">
      <c r="A105" s="29" t="s">
        <v>235</v>
      </c>
      <c r="B105" s="30"/>
      <c r="C105" s="30"/>
      <c r="D105" s="307"/>
      <c r="E105" s="30"/>
      <c r="F105" s="1"/>
    </row>
    <row r="106" spans="1:6" hidden="1">
      <c r="A106" s="44"/>
      <c r="B106" s="44"/>
      <c r="C106" s="44"/>
      <c r="D106" s="44"/>
      <c r="E106" s="44"/>
      <c r="F106" s="1"/>
    </row>
    <row r="107" spans="1:6" hidden="1">
      <c r="A107" s="44"/>
      <c r="B107" s="44"/>
      <c r="C107" s="44"/>
      <c r="D107" s="44"/>
      <c r="E107" s="44"/>
      <c r="F107" s="1"/>
    </row>
    <row r="108" spans="1:6" hidden="1">
      <c r="A108" s="44"/>
      <c r="B108" s="44"/>
      <c r="C108" s="44"/>
      <c r="D108" s="44"/>
      <c r="E108" s="44"/>
      <c r="F108" s="1"/>
    </row>
    <row r="109" spans="1:6" hidden="1">
      <c r="A109" s="44"/>
      <c r="B109" s="44"/>
      <c r="C109" s="44"/>
      <c r="D109" s="44"/>
      <c r="E109" s="44"/>
      <c r="F109" s="1"/>
    </row>
    <row r="110" spans="1:6" hidden="1">
      <c r="A110" s="44"/>
      <c r="B110" s="44"/>
      <c r="C110" s="44"/>
      <c r="D110" s="44"/>
      <c r="E110" s="44"/>
      <c r="F110" s="1"/>
    </row>
    <row r="111" spans="1:6" hidden="1">
      <c r="A111" s="44"/>
      <c r="B111" s="44"/>
      <c r="C111" s="44"/>
      <c r="D111" s="44"/>
      <c r="E111" s="44"/>
      <c r="F111" s="1"/>
    </row>
    <row r="112" spans="1:6" hidden="1">
      <c r="A112" s="27" t="s">
        <v>1537</v>
      </c>
      <c r="B112" s="44"/>
      <c r="C112" s="44"/>
      <c r="D112" s="44"/>
      <c r="E112" s="44"/>
      <c r="F112" s="1"/>
    </row>
    <row r="113" spans="1:6" hidden="1">
      <c r="A113" s="44"/>
      <c r="B113" s="44"/>
      <c r="C113" s="44"/>
      <c r="D113" s="44"/>
      <c r="E113" s="44"/>
      <c r="F113" s="1"/>
    </row>
    <row r="114" spans="1:6" hidden="1">
      <c r="A114" s="44"/>
      <c r="B114" s="44"/>
      <c r="C114" s="44"/>
      <c r="D114" s="44"/>
      <c r="E114" s="44"/>
      <c r="F114" s="1"/>
    </row>
    <row r="115" spans="1:6" hidden="1">
      <c r="A115" s="27" t="s">
        <v>247</v>
      </c>
      <c r="B115" s="44"/>
      <c r="C115" s="44"/>
      <c r="D115" s="44"/>
      <c r="E115" s="44"/>
      <c r="F115" s="1"/>
    </row>
    <row r="116" spans="1:6" hidden="1">
      <c r="A116" s="29" t="s">
        <v>357</v>
      </c>
      <c r="B116" s="30"/>
      <c r="C116" s="30"/>
      <c r="D116" s="307"/>
      <c r="E116" s="30"/>
      <c r="F116" s="1"/>
    </row>
    <row r="117" spans="1:6" hidden="1">
      <c r="A117" s="44"/>
      <c r="B117" s="44"/>
      <c r="C117" s="44"/>
      <c r="D117" s="307"/>
      <c r="E117" s="44"/>
      <c r="F117" s="1"/>
    </row>
    <row r="118" spans="1:6" hidden="1">
      <c r="A118" s="44"/>
      <c r="B118" s="44"/>
      <c r="C118" s="44"/>
      <c r="D118" s="670"/>
      <c r="E118" s="44"/>
      <c r="F118" s="1"/>
    </row>
    <row r="119" spans="1:6" hidden="1">
      <c r="A119" s="44"/>
      <c r="B119" s="44"/>
      <c r="C119" s="44"/>
      <c r="D119" s="670"/>
      <c r="E119" s="44"/>
      <c r="F119" s="1"/>
    </row>
    <row r="120" spans="1:6" hidden="1">
      <c r="A120" s="44"/>
      <c r="B120" s="44"/>
      <c r="C120" s="44"/>
      <c r="D120" s="670"/>
      <c r="E120" s="44"/>
      <c r="F120" s="1"/>
    </row>
    <row r="121" spans="1:6" hidden="1">
      <c r="A121" s="252"/>
      <c r="B121" s="44"/>
      <c r="C121" s="44"/>
      <c r="D121" s="44"/>
      <c r="E121" s="44"/>
      <c r="F121" s="1"/>
    </row>
    <row r="122" spans="1:6" hidden="1">
      <c r="A122" s="32" t="s">
        <v>1399</v>
      </c>
      <c r="B122" s="36"/>
      <c r="C122" s="36"/>
      <c r="D122" s="677"/>
      <c r="E122" s="36"/>
      <c r="F122" s="1"/>
    </row>
    <row r="123" spans="1:6" hidden="1">
      <c r="A123" s="32" t="s">
        <v>1398</v>
      </c>
      <c r="B123" s="36"/>
      <c r="C123" s="36"/>
      <c r="D123" s="677"/>
      <c r="E123" s="36"/>
      <c r="F123" s="1"/>
    </row>
    <row r="124" spans="1:6" hidden="1">
      <c r="A124" s="36"/>
      <c r="B124" s="36"/>
      <c r="C124" s="36"/>
      <c r="D124" s="677"/>
      <c r="E124" s="36"/>
      <c r="F124" s="1"/>
    </row>
    <row r="125" spans="1:6" hidden="1">
      <c r="A125" s="36"/>
      <c r="B125" s="36"/>
      <c r="C125" s="36"/>
      <c r="D125" s="677"/>
      <c r="E125" s="36"/>
      <c r="F125" s="1"/>
    </row>
    <row r="126" spans="1:6" hidden="1">
      <c r="A126" s="36"/>
      <c r="B126" s="36"/>
      <c r="C126" s="36"/>
      <c r="D126" s="677"/>
      <c r="E126" s="36"/>
      <c r="F126" s="1"/>
    </row>
    <row r="127" spans="1:6" hidden="1">
      <c r="A127" s="36"/>
      <c r="B127" s="36"/>
      <c r="C127" s="36"/>
      <c r="D127" s="677"/>
      <c r="E127" s="36"/>
      <c r="F127" s="1"/>
    </row>
    <row r="128" spans="1:6" hidden="1">
      <c r="A128" s="36"/>
      <c r="B128" s="36"/>
      <c r="C128" s="36"/>
      <c r="D128" s="677"/>
      <c r="E128" s="36"/>
      <c r="F128" s="1"/>
    </row>
    <row r="129" spans="1:6" hidden="1">
      <c r="A129" s="36"/>
      <c r="B129" s="36"/>
      <c r="C129" s="36"/>
      <c r="D129" s="677"/>
      <c r="E129" s="36"/>
      <c r="F129" s="1"/>
    </row>
    <row r="130" spans="1:6" hidden="1"/>
    <row r="131" spans="1:6" hidden="1"/>
    <row r="132" spans="1:6" hidden="1"/>
    <row r="133" spans="1:6" hidden="1"/>
    <row r="134" spans="1:6" hidden="1"/>
    <row r="135" spans="1:6" hidden="1"/>
    <row r="136" spans="1:6" hidden="1"/>
    <row r="137" spans="1:6" hidden="1"/>
    <row r="138" spans="1:6" hidden="1"/>
    <row r="139" spans="1:6" hidden="1"/>
    <row r="140" spans="1:6" hidden="1"/>
    <row r="141" spans="1:6" hidden="1"/>
    <row r="142" spans="1:6" hidden="1"/>
    <row r="143" spans="1:6" hidden="1"/>
    <row r="144" spans="1:6"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96" spans="1:5">
      <c r="A196" s="17"/>
      <c r="B196" s="17"/>
      <c r="C196" s="17"/>
      <c r="D196" s="17"/>
      <c r="E196" s="17"/>
    </row>
    <row r="197" spans="1:5">
      <c r="A197" s="17"/>
      <c r="B197" s="17"/>
      <c r="C197" s="17"/>
      <c r="D197" s="17"/>
      <c r="E197" s="17"/>
    </row>
  </sheetData>
  <sheetProtection algorithmName="SHA-512" hashValue="iCVE+z9Au1/IWkWYGbj5ixJp2LcsNcKE1SYd3ovjDL5JmeJoe42QwOc7HdB63tdobMu0RypceHX1q3WF6wphyA==" saltValue="/DeZAtOClqwrpDgPfVP4Cw==" spinCount="100000" sheet="1" objects="1" scenarios="1"/>
  <mergeCells count="5">
    <mergeCell ref="A9:E9"/>
    <mergeCell ref="I9:L9"/>
    <mergeCell ref="I11:L11"/>
    <mergeCell ref="I12:L12"/>
    <mergeCell ref="I10:L10"/>
  </mergeCells>
  <dataValidations count="1">
    <dataValidation type="list" allowBlank="1" showInputMessage="1" showErrorMessage="1" sqref="C78:C79" xr:uid="{00000000-0002-0000-0800-000000000000}">
      <formula1>$A$122:$A$123</formula1>
    </dataValidation>
  </dataValidations>
  <pageMargins left="0.7" right="0.7" top="0.75" bottom="0.75" header="0.3" footer="0.3"/>
  <pageSetup paperSize="9" orientation="portrait" r:id="rId1"/>
  <ignoredErrors>
    <ignoredError sqref="D26 D36 B36 D46 B46" formulaRange="1"/>
    <ignoredError sqref="C7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Instructions and information</vt:lpstr>
      <vt:lpstr>Avg_yields_EU28</vt:lpstr>
      <vt:lpstr>Initial data collection sheet</vt:lpstr>
      <vt:lpstr>LSU_density_EU</vt:lpstr>
      <vt:lpstr>Soil management</vt:lpstr>
      <vt:lpstr>Landscape and Heritage</vt:lpstr>
      <vt:lpstr>NPK budget</vt:lpstr>
      <vt:lpstr>Fuel use input data</vt:lpstr>
      <vt:lpstr>Energy and carbon</vt:lpstr>
      <vt:lpstr>Agricultural systems diversity</vt:lpstr>
      <vt:lpstr>Social Capital</vt:lpstr>
      <vt:lpstr>Farm Business Resilience</vt:lpstr>
      <vt:lpstr>AnimalHealth&amp;Welfare Management</vt:lpstr>
      <vt:lpstr>Governance</vt:lpstr>
      <vt:lpstr>Results with livestock</vt:lpstr>
      <vt:lpstr>Results without livestock</vt:lpstr>
      <vt:lpstr>FBS classification </vt:lpstr>
      <vt:lpstr>CO2_fuel_calc</vt:lpstr>
      <vt:lpstr>LU</vt:lpstr>
      <vt:lpstr>'Fuel use input data'!Print_Area</vt:lpstr>
      <vt:lpstr>'Results with livestock'!Print_Area</vt:lpstr>
      <vt:lpstr>'Results without livestock'!Print_Area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catherine.g</dc:creator>
  <cp:lastModifiedBy>Jo Smith</cp:lastModifiedBy>
  <cp:lastPrinted>2019-02-27T12:47:35Z</cp:lastPrinted>
  <dcterms:created xsi:type="dcterms:W3CDTF">2010-07-05T11:41:50Z</dcterms:created>
  <dcterms:modified xsi:type="dcterms:W3CDTF">2019-03-14T13:42:24Z</dcterms:modified>
</cp:coreProperties>
</file>